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</definedNames>
  <calcPr calcId="124519"/>
</workbook>
</file>

<file path=xl/calcChain.xml><?xml version="1.0" encoding="utf-8"?>
<calcChain xmlns="http://schemas.openxmlformats.org/spreadsheetml/2006/main">
  <c r="F15" i="2"/>
  <c r="AP7" i="4"/>
  <c r="AS18"/>
  <c r="G15" i="2"/>
  <c r="G14"/>
  <c r="G13"/>
  <c r="G12"/>
  <c r="G11"/>
  <c r="G10"/>
  <c r="G9"/>
  <c r="G8"/>
  <c r="G7"/>
  <c r="F14"/>
  <c r="F13"/>
  <c r="F12"/>
  <c r="F11"/>
  <c r="F10"/>
  <c r="F9"/>
  <c r="F8"/>
  <c r="F7"/>
  <c r="E15"/>
  <c r="E14"/>
  <c r="E13"/>
  <c r="E12"/>
  <c r="E11"/>
  <c r="E10"/>
  <c r="E9"/>
  <c r="E8"/>
  <c r="E7"/>
  <c r="C15"/>
  <c r="C14"/>
  <c r="C13"/>
  <c r="C12"/>
  <c r="C11"/>
  <c r="C10"/>
  <c r="C9"/>
  <c r="C8"/>
  <c r="H8" s="1"/>
  <c r="C7"/>
  <c r="H10" l="1"/>
  <c r="H12"/>
  <c r="H14"/>
  <c r="H7"/>
  <c r="H9"/>
  <c r="H11"/>
  <c r="H13"/>
  <c r="H15"/>
  <c r="E20" i="1"/>
  <c r="F20"/>
  <c r="G20"/>
  <c r="H20"/>
  <c r="D20" l="1"/>
  <c r="C20"/>
  <c r="I10" i="4"/>
  <c r="I11"/>
  <c r="I12"/>
  <c r="I13"/>
  <c r="I14"/>
  <c r="I15"/>
  <c r="I16"/>
  <c r="I17"/>
  <c r="H10"/>
  <c r="H11"/>
  <c r="H12"/>
  <c r="H13"/>
  <c r="H14"/>
  <c r="H15"/>
  <c r="H16"/>
  <c r="H17"/>
  <c r="G10"/>
  <c r="G11"/>
  <c r="G12"/>
  <c r="G13"/>
  <c r="G14"/>
  <c r="G15"/>
  <c r="G16"/>
  <c r="G17"/>
  <c r="I9" l="1"/>
  <c r="D18" l="1"/>
  <c r="E18"/>
  <c r="B7"/>
  <c r="C7" s="1"/>
  <c r="D7" s="1"/>
  <c r="E7" s="1"/>
  <c r="F7" s="1"/>
  <c r="G7" s="1"/>
  <c r="H7" s="1"/>
  <c r="I7" s="1"/>
  <c r="J7" s="1"/>
  <c r="K7" s="1"/>
  <c r="G9"/>
  <c r="G18" s="1"/>
  <c r="H9"/>
  <c r="B6" i="2"/>
  <c r="C6" s="1"/>
  <c r="D6" s="1"/>
  <c r="H18" i="4" l="1"/>
  <c r="L7"/>
  <c r="F18"/>
  <c r="E6" i="2"/>
  <c r="G6" s="1"/>
  <c r="H6" s="1"/>
  <c r="M7" i="4" l="1"/>
  <c r="N7" s="1"/>
  <c r="O7" s="1"/>
  <c r="P7" s="1"/>
  <c r="Q7" s="1"/>
  <c r="R7" s="1"/>
  <c r="S7" s="1"/>
  <c r="J18"/>
  <c r="K9"/>
  <c r="K14"/>
  <c r="K12"/>
  <c r="K17"/>
  <c r="K15"/>
  <c r="K11"/>
  <c r="K10"/>
  <c r="K16"/>
  <c r="K13"/>
  <c r="L11"/>
  <c r="L15"/>
  <c r="L13"/>
  <c r="L10"/>
  <c r="L12"/>
  <c r="L17"/>
  <c r="L14"/>
  <c r="L16"/>
  <c r="L9"/>
  <c r="L18" l="1"/>
  <c r="T7"/>
  <c r="U7" s="1"/>
  <c r="V7" s="1"/>
  <c r="W7" s="1"/>
  <c r="X7" s="1"/>
  <c r="Y7" s="1"/>
  <c r="M17"/>
  <c r="M10"/>
  <c r="M16"/>
  <c r="M14"/>
  <c r="M13"/>
  <c r="M11"/>
  <c r="M9"/>
  <c r="M12"/>
  <c r="M15"/>
  <c r="N18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P18" l="1"/>
  <c r="AL7"/>
  <c r="AM7" s="1"/>
  <c r="AN7" s="1"/>
  <c r="AO7" s="1"/>
  <c r="Q17" l="1"/>
  <c r="Q11"/>
  <c r="Q15"/>
  <c r="Q14"/>
  <c r="Q13"/>
  <c r="Q12"/>
  <c r="Q16"/>
  <c r="Q9"/>
  <c r="Q10"/>
  <c r="Q18" l="1"/>
  <c r="T9"/>
  <c r="T12"/>
  <c r="T11"/>
  <c r="T16"/>
  <c r="T17"/>
  <c r="T15"/>
  <c r="T10"/>
  <c r="T13"/>
  <c r="T14"/>
  <c r="S18" l="1"/>
  <c r="R18"/>
  <c r="U17" l="1"/>
  <c r="V1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V9" l="1"/>
  <c r="V18" s="1"/>
  <c r="AQ7" l="1"/>
  <c r="AR7" s="1"/>
  <c r="W17"/>
  <c r="W16"/>
  <c r="W14"/>
  <c r="W12"/>
  <c r="W15"/>
  <c r="W13"/>
  <c r="W11"/>
  <c r="W9"/>
  <c r="W10"/>
  <c r="W18" l="1"/>
  <c r="Z9"/>
  <c r="Z13"/>
  <c r="Z12"/>
  <c r="Z11"/>
  <c r="Z16"/>
  <c r="Z17"/>
  <c r="Z10"/>
  <c r="Z15"/>
  <c r="Z14"/>
  <c r="Y18" l="1"/>
  <c r="X18"/>
  <c r="AA9" l="1"/>
  <c r="AB9" s="1"/>
  <c r="AA17"/>
  <c r="AB17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B18" l="1"/>
  <c r="AC17" l="1"/>
  <c r="AC14"/>
  <c r="AC12"/>
  <c r="AC15"/>
  <c r="AC9"/>
  <c r="AC13"/>
  <c r="AC10"/>
  <c r="AC16"/>
  <c r="AC11"/>
  <c r="AC18" l="1"/>
  <c r="AF16"/>
  <c r="AF9"/>
  <c r="AF12"/>
  <c r="AF15"/>
  <c r="AF10"/>
  <c r="AF17"/>
  <c r="AF11"/>
  <c r="AF13"/>
  <c r="AF14"/>
  <c r="AE18" l="1"/>
  <c r="AD18"/>
  <c r="AG17" l="1"/>
  <c r="AH17" s="1"/>
  <c r="AG10"/>
  <c r="AH10" s="1"/>
  <c r="AG12"/>
  <c r="AH12" s="1"/>
  <c r="AG16"/>
  <c r="AH16" s="1"/>
  <c r="AG13"/>
  <c r="AH13" s="1"/>
  <c r="AG14"/>
  <c r="AH14" s="1"/>
  <c r="AG11"/>
  <c r="AH11" s="1"/>
  <c r="AG9"/>
  <c r="AH9" s="1"/>
  <c r="AG15"/>
  <c r="AH15" s="1"/>
  <c r="AH18" l="1"/>
  <c r="AI17" l="1"/>
  <c r="AI14"/>
  <c r="AI15"/>
  <c r="AI16"/>
  <c r="AI13"/>
  <c r="AI10"/>
  <c r="AI9"/>
  <c r="AI11"/>
  <c r="AI12"/>
  <c r="AI18" l="1"/>
  <c r="AL12"/>
  <c r="AL13"/>
  <c r="AL14"/>
  <c r="AL15"/>
  <c r="AL10"/>
  <c r="AL16"/>
  <c r="AL17"/>
  <c r="AL11"/>
  <c r="AL9"/>
  <c r="AK18" l="1"/>
  <c r="AJ18"/>
  <c r="AM11" l="1"/>
  <c r="AN11" s="1"/>
  <c r="AM15"/>
  <c r="AN15" s="1"/>
  <c r="AM17"/>
  <c r="AN17" s="1"/>
  <c r="AM13"/>
  <c r="AN13" s="1"/>
  <c r="AM12"/>
  <c r="AN12" s="1"/>
  <c r="AM10"/>
  <c r="AN10" s="1"/>
  <c r="AM9"/>
  <c r="AN9" s="1"/>
  <c r="AM14"/>
  <c r="AN14" s="1"/>
  <c r="AM16"/>
  <c r="AN16" s="1"/>
  <c r="AN18" l="1"/>
  <c r="AO17" l="1"/>
  <c r="AP17" s="1"/>
  <c r="AO16"/>
  <c r="AP16" s="1"/>
  <c r="AO9"/>
  <c r="AP9" s="1"/>
  <c r="AO15"/>
  <c r="AP15" s="1"/>
  <c r="AO14"/>
  <c r="AP14" s="1"/>
  <c r="AO11"/>
  <c r="AP11" s="1"/>
  <c r="AO10"/>
  <c r="AP10" s="1"/>
  <c r="AO13"/>
  <c r="AP13" s="1"/>
  <c r="AO12"/>
  <c r="AP12" s="1"/>
  <c r="AO18" l="1"/>
  <c r="AQ14" l="1"/>
  <c r="AR14" s="1"/>
  <c r="AQ13" l="1"/>
  <c r="AR13" s="1"/>
  <c r="AQ17"/>
  <c r="AR17" s="1"/>
  <c r="AQ10"/>
  <c r="AR10" s="1"/>
  <c r="AQ15"/>
  <c r="AR15" s="1"/>
  <c r="AQ11"/>
  <c r="AR11" s="1"/>
  <c r="AQ12"/>
  <c r="AR12" s="1"/>
  <c r="AQ16"/>
  <c r="AR16" s="1"/>
  <c r="AQ9" l="1"/>
  <c r="AR9" s="1"/>
  <c r="AP18"/>
  <c r="AQ18" s="1"/>
</calcChain>
</file>

<file path=xl/sharedStrings.xml><?xml version="1.0" encoding="utf-8"?>
<sst xmlns="http://schemas.openxmlformats.org/spreadsheetml/2006/main" count="355" uniqueCount="106">
  <si>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</si>
  <si>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</si>
  <si>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</si>
  <si>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</si>
  <si>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</si>
  <si>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</si>
  <si>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</si>
  <si>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</si>
  <si>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</si>
  <si>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</si>
  <si>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</si>
  <si>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</si>
  <si>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</si>
  <si>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</si>
  <si>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</si>
  <si>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</si>
  <si>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</si>
  <si>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</si>
  <si>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</si>
  <si>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</si>
  <si>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</si>
  <si>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</si>
  <si>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</si>
  <si>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</si>
  <si>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</si>
  <si>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</si>
  <si>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</si>
  <si>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</si>
  <si>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</si>
  <si>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</si>
  <si>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</si>
  <si>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</si>
  <si>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</si>
  <si>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</si>
  <si>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</si>
  <si>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</si>
  <si>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</si>
  <si>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</si>
  <si>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</si>
  <si>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</si>
  <si>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</si>
  <si>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</si>
  <si>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</si>
  <si>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</si>
  <si>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</si>
  <si>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</si>
  <si>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</si>
  <si>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</si>
  <si>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</si>
  <si>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</si>
  <si>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</si>
  <si>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</si>
  <si>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указать единицу измерения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</si>
  <si>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</si>
  <si>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</si>
  <si>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</si>
  <si>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</si>
  <si>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</si>
  <si>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</si>
  <si>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Объем дотаций, распределенный 
на 2 этапе</t>
  </si>
  <si>
    <t>Объем дотаций, распределенный на 1 и 2 этапах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</si>
  <si>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</si>
  <si>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</si>
  <si>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</si>
  <si>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</si>
  <si>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</si>
  <si>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НПi/Нi</t>
  </si>
  <si>
    <t>Вольновское с/п</t>
  </si>
  <si>
    <t>Воронцовское с/п</t>
  </si>
  <si>
    <t>Ворошиловское с/п</t>
  </si>
  <si>
    <t>Еремеевское с/п</t>
  </si>
  <si>
    <t>Красногорское с/п</t>
  </si>
  <si>
    <t>Новоильиновское с/п</t>
  </si>
  <si>
    <t>Ольгинское с/п</t>
  </si>
  <si>
    <t>Соловьевское с/п</t>
  </si>
  <si>
    <t>Полтавское г/п</t>
  </si>
  <si>
    <t>удаленность от районного центра</t>
  </si>
  <si>
    <t>площадь территории</t>
  </si>
  <si>
    <t>наружный строительный объем отапливаемых зданий</t>
  </si>
  <si>
    <t>количество населенных пунктов</t>
  </si>
  <si>
    <t>километров</t>
  </si>
  <si>
    <t>кв.километров</t>
  </si>
  <si>
    <t>куб.метров</t>
  </si>
  <si>
    <t>Коэффициент удаленности от районного центра</t>
  </si>
  <si>
    <t>Коэффициент дифференциации муниципальных образований по численности постоянного населения</t>
  </si>
  <si>
    <t>Коэффициент площади территории</t>
  </si>
  <si>
    <t>Коэффициент наружного строительного объема отапливаемых зданий</t>
  </si>
  <si>
    <t>Коэффициент количества населенных пунктов</t>
  </si>
  <si>
    <t>Поправочный коэффициент расходных потребностей КПРi=(Кудi+Кплi+Кнсоi+Кнпi)/4*Кчi</t>
  </si>
  <si>
    <t>Кудi=1+Пудi/Пуд max</t>
  </si>
  <si>
    <t>Кчi</t>
  </si>
  <si>
    <t>Кплi=1+Sплi/Sпл max</t>
  </si>
  <si>
    <t>Кнсоi=1+Vнсоi/Vнсо max</t>
  </si>
  <si>
    <t>Кнпi=1+Nнпi/Nнп max</t>
  </si>
  <si>
    <t>на 01.01.2024г</t>
  </si>
  <si>
    <t>Расчет размера дотации бюджетам поселений, входящих в состав Полтавского муниципального района Омской области, на выравнивание бюджетной обеспеченности на 2025 год</t>
  </si>
  <si>
    <t>Объем дотации на 2025 год</t>
  </si>
  <si>
    <t>2025 год</t>
  </si>
  <si>
    <r>
      <t xml:space="preserve">Уровень расчетной бюджетной обеспеченности </t>
    </r>
    <r>
      <rPr>
        <b/>
        <u/>
        <sz val="14"/>
        <rFont val="Times New Roman"/>
        <family val="1"/>
        <charset val="204"/>
      </rPr>
      <t xml:space="preserve">ДО </t>
    </r>
    <r>
      <rPr>
        <b/>
        <sz val="14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</si>
  <si>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поселения </t>
    </r>
    <r>
      <rPr>
        <b/>
        <u/>
        <sz val="14"/>
        <rFont val="Times New Roman"/>
        <family val="1"/>
        <charset val="204"/>
      </rPr>
      <t xml:space="preserve">ПОСЛЕ </t>
    </r>
    <r>
      <rPr>
        <b/>
        <sz val="14"/>
        <rFont val="Times New Roman"/>
        <family val="1"/>
        <charset val="204"/>
      </rPr>
      <t>выравнивания</t>
    </r>
  </si>
  <si>
    <r>
      <t xml:space="preserve">Численность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 на начало текущего года</t>
    </r>
  </si>
  <si>
    <r>
      <t xml:space="preserve">Объем дотации, распределенный на 1 этапе (исходя из численности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b/>
        <sz val="14"/>
        <rFont val="Times New Roman"/>
        <family val="1"/>
        <charset val="204"/>
      </rPr>
      <t xml:space="preserve">  населения)</t>
    </r>
  </si>
  <si>
    <r>
      <t xml:space="preserve">Выравнивание исходя из численности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</t>
    </r>
  </si>
  <si>
    <r>
      <t>Кit</t>
    </r>
    <r>
      <rPr>
        <vertAlign val="superscript"/>
        <sz val="14"/>
        <rFont val="Times New Roman"/>
        <family val="1"/>
        <charset val="204"/>
      </rPr>
      <t>СО</t>
    </r>
  </si>
  <si>
    <r>
      <t xml:space="preserve">Численность  </t>
    </r>
    <r>
      <rPr>
        <b/>
        <sz val="14"/>
        <color theme="3" tint="0.39997558519241921"/>
        <rFont val="Times New Roman"/>
        <family val="1"/>
        <charset val="204"/>
      </rPr>
      <t>постоянного</t>
    </r>
    <r>
      <rPr>
        <sz val="14"/>
        <rFont val="Times New Roman"/>
        <family val="1"/>
        <charset val="204"/>
      </rPr>
      <t xml:space="preserve"> населения </t>
    </r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</si>
  <si>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4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</si>
</sst>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3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b/>
      <u/>
      <sz val="14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i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Arial Cyr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51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0" fillId="0" borderId="10" applyNumberFormat="0">
      <alignment horizontal="right" vertical="top"/>
    </xf>
    <xf numFmtId="0" fontId="20" fillId="0" borderId="0"/>
  </cellStyleXfs>
  <cellXfs count="211">
    <xf numFmtId="0" fontId="0" fillId="0" borderId="0" xfId="0"/>
    <xf numFmtId="164" fontId="18" fillId="26" borderId="11" xfId="0" applyNumberFormat="1" applyFont="1" applyFill="1" applyBorder="1" applyAlignment="1">
      <alignment horizontal="center" vertical="center"/>
    </xf>
    <xf numFmtId="2" fontId="18" fillId="26" borderId="11" xfId="0" applyNumberFormat="1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3" fontId="18" fillId="26" borderId="11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vertical="top" wrapText="1"/>
    </xf>
    <xf numFmtId="0" fontId="19" fillId="26" borderId="0" xfId="0" applyFont="1" applyFill="1" applyAlignment="1">
      <alignment vertical="center"/>
    </xf>
    <xf numFmtId="0" fontId="19" fillId="25" borderId="19" xfId="0" applyFont="1" applyFill="1" applyBorder="1" applyAlignment="1">
      <alignment horizontal="center" vertical="center" wrapText="1"/>
    </xf>
    <xf numFmtId="0" fontId="19" fillId="25" borderId="0" xfId="0" applyFont="1" applyFill="1" applyBorder="1" applyAlignment="1">
      <alignment vertical="center" wrapText="1"/>
    </xf>
    <xf numFmtId="0" fontId="18" fillId="26" borderId="0" xfId="0" applyFont="1" applyFill="1" applyAlignment="1">
      <alignment vertical="center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39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30" borderId="41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19" fillId="26" borderId="52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vertical="center" wrapText="1"/>
    </xf>
    <xf numFmtId="0" fontId="18" fillId="26" borderId="61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wrapText="1"/>
    </xf>
    <xf numFmtId="0" fontId="18" fillId="26" borderId="45" xfId="0" applyFont="1" applyFill="1" applyBorder="1" applyAlignment="1">
      <alignment horizontal="center" vertical="center" wrapText="1"/>
    </xf>
    <xf numFmtId="0" fontId="19" fillId="26" borderId="27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0" xfId="0" applyFont="1" applyFill="1" applyAlignment="1">
      <alignment horizontal="center" vertical="center" wrapText="1"/>
    </xf>
    <xf numFmtId="0" fontId="23" fillId="30" borderId="5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0" borderId="39" xfId="0" applyFont="1" applyFill="1" applyBorder="1" applyAlignment="1">
      <alignment horizontal="center" vertical="center"/>
    </xf>
    <xf numFmtId="0" fontId="23" fillId="30" borderId="53" xfId="0" applyFont="1" applyFill="1" applyBorder="1" applyAlignment="1">
      <alignment horizontal="center" vertical="center"/>
    </xf>
    <xf numFmtId="0" fontId="23" fillId="30" borderId="52" xfId="0" applyFont="1" applyFill="1" applyBorder="1" applyAlignment="1">
      <alignment horizontal="center" vertical="center"/>
    </xf>
    <xf numFmtId="0" fontId="23" fillId="30" borderId="24" xfId="0" applyFont="1" applyFill="1" applyBorder="1" applyAlignment="1">
      <alignment horizontal="center" vertical="center"/>
    </xf>
    <xf numFmtId="0" fontId="23" fillId="30" borderId="50" xfId="0" applyFont="1" applyFill="1" applyBorder="1" applyAlignment="1">
      <alignment horizontal="center" vertical="center"/>
    </xf>
    <xf numFmtId="0" fontId="23" fillId="30" borderId="31" xfId="0" applyFont="1" applyFill="1" applyBorder="1" applyAlignment="1">
      <alignment horizontal="center" vertical="center"/>
    </xf>
    <xf numFmtId="0" fontId="25" fillId="30" borderId="52" xfId="0" applyFont="1" applyFill="1" applyBorder="1" applyAlignment="1">
      <alignment horizontal="center" vertical="center"/>
    </xf>
    <xf numFmtId="0" fontId="23" fillId="26" borderId="11" xfId="0" applyFont="1" applyFill="1" applyBorder="1" applyAlignment="1">
      <alignment horizontal="center" vertical="center"/>
    </xf>
    <xf numFmtId="0" fontId="23" fillId="26" borderId="0" xfId="0" applyFont="1" applyFill="1" applyAlignment="1">
      <alignment horizontal="center" vertical="center"/>
    </xf>
    <xf numFmtId="0" fontId="26" fillId="26" borderId="64" xfId="0" applyFont="1" applyFill="1" applyBorder="1" applyAlignment="1">
      <alignment wrapText="1"/>
    </xf>
    <xf numFmtId="0" fontId="18" fillId="27" borderId="21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170" fontId="18" fillId="26" borderId="21" xfId="0" applyNumberFormat="1" applyFont="1" applyFill="1" applyBorder="1" applyAlignment="1">
      <alignment vertical="center"/>
    </xf>
    <xf numFmtId="167" fontId="18" fillId="26" borderId="21" xfId="0" applyNumberFormat="1" applyFont="1" applyFill="1" applyBorder="1" applyAlignment="1">
      <alignment vertical="center"/>
    </xf>
    <xf numFmtId="171" fontId="18" fillId="26" borderId="32" xfId="0" applyNumberFormat="1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9" fontId="18" fillId="2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34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71" fontId="18" fillId="26" borderId="16" xfId="0" applyNumberFormat="1" applyFont="1" applyFill="1" applyBorder="1" applyAlignment="1">
      <alignment horizontal="right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67" fontId="18" fillId="26" borderId="40" xfId="0" applyNumberFormat="1" applyFont="1" applyFill="1" applyBorder="1" applyAlignment="1">
      <alignment vertical="center"/>
    </xf>
    <xf numFmtId="0" fontId="18" fillId="27" borderId="38" xfId="0" applyFont="1" applyFill="1" applyBorder="1" applyAlignment="1">
      <alignment horizontal="center" vertical="center"/>
    </xf>
    <xf numFmtId="167" fontId="18" fillId="26" borderId="36" xfId="0" applyNumberFormat="1" applyFont="1" applyFill="1" applyBorder="1" applyAlignment="1">
      <alignment vertical="center"/>
    </xf>
    <xf numFmtId="4" fontId="19" fillId="28" borderId="33" xfId="0" applyNumberFormat="1" applyFont="1" applyFill="1" applyBorder="1" applyAlignment="1">
      <alignment vertical="center"/>
    </xf>
    <xf numFmtId="172" fontId="18" fillId="26" borderId="43" xfId="0" applyNumberFormat="1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0" fontId="18" fillId="26" borderId="0" xfId="0" applyFont="1" applyFill="1" applyAlignment="1">
      <alignment vertical="center"/>
    </xf>
    <xf numFmtId="0" fontId="27" fillId="26" borderId="59" xfId="0" applyFont="1" applyFill="1" applyBorder="1" applyAlignment="1">
      <alignment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0" fontId="18" fillId="27" borderId="14" xfId="0" applyFont="1" applyFill="1" applyBorder="1" applyAlignment="1">
      <alignment horizontal="center" vertical="center"/>
    </xf>
    <xf numFmtId="170" fontId="18" fillId="26" borderId="47" xfId="0" applyNumberFormat="1" applyFont="1" applyFill="1" applyBorder="1" applyAlignment="1">
      <alignment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11" xfId="0" applyFont="1" applyFill="1" applyBorder="1" applyAlignment="1">
      <alignment horizontal="center"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18" fillId="27" borderId="35" xfId="0" applyFont="1" applyFill="1" applyBorder="1" applyAlignment="1">
      <alignment horizontal="center" vertical="center"/>
    </xf>
    <xf numFmtId="167" fontId="18" fillId="26" borderId="35" xfId="0" applyNumberFormat="1" applyFont="1" applyFill="1" applyBorder="1" applyAlignment="1">
      <alignment vertical="center"/>
    </xf>
    <xf numFmtId="4" fontId="19" fillId="28" borderId="11" xfId="0" applyNumberFormat="1" applyFont="1" applyFill="1" applyBorder="1" applyAlignment="1">
      <alignment vertical="center"/>
    </xf>
    <xf numFmtId="172" fontId="18" fillId="26" borderId="14" xfId="0" applyNumberFormat="1" applyFont="1" applyFill="1" applyBorder="1" applyAlignment="1">
      <alignment horizontal="center" vertical="center"/>
    </xf>
    <xf numFmtId="0" fontId="27" fillId="26" borderId="62" xfId="0" applyFont="1" applyFill="1" applyBorder="1" applyAlignment="1">
      <alignment wrapText="1"/>
    </xf>
    <xf numFmtId="0" fontId="28" fillId="28" borderId="31" xfId="0" applyFont="1" applyFill="1" applyBorder="1" applyAlignment="1">
      <alignment wrapText="1"/>
    </xf>
    <xf numFmtId="167" fontId="29" fillId="26" borderId="66" xfId="0" applyNumberFormat="1" applyFont="1" applyFill="1" applyBorder="1" applyAlignment="1">
      <alignment horizontal="right" vertical="center"/>
    </xf>
    <xf numFmtId="165" fontId="29" fillId="26" borderId="26" xfId="0" applyNumberFormat="1" applyFont="1" applyFill="1" applyBorder="1" applyAlignment="1">
      <alignment horizontal="right" vertical="center"/>
    </xf>
    <xf numFmtId="167" fontId="19" fillId="28" borderId="18" xfId="0" applyNumberFormat="1" applyFont="1" applyFill="1" applyBorder="1" applyAlignment="1">
      <alignment horizontal="right" vertical="center"/>
    </xf>
    <xf numFmtId="165" fontId="19" fillId="28" borderId="26" xfId="0" applyNumberFormat="1" applyFont="1" applyFill="1" applyBorder="1" applyAlignment="1">
      <alignment horizontal="right" vertical="center"/>
    </xf>
    <xf numFmtId="168" fontId="19" fillId="28" borderId="27" xfId="0" applyNumberFormat="1" applyFont="1" applyFill="1" applyBorder="1" applyAlignment="1">
      <alignment horizontal="right" vertical="center"/>
    </xf>
    <xf numFmtId="166" fontId="19" fillId="28" borderId="17" xfId="0" applyNumberFormat="1" applyFont="1" applyFill="1" applyBorder="1" applyAlignment="1">
      <alignment horizontal="center" vertical="center" wrapText="1"/>
    </xf>
    <xf numFmtId="167" fontId="19" fillId="28" borderId="45" xfId="0" applyNumberFormat="1" applyFont="1" applyFill="1" applyBorder="1" applyAlignment="1">
      <alignment horizontal="center" vertical="center"/>
    </xf>
    <xf numFmtId="166" fontId="19" fillId="28" borderId="31" xfId="0" applyNumberFormat="1" applyFont="1" applyFill="1" applyBorder="1" applyAlignment="1">
      <alignment horizontal="center" vertical="center" wrapText="1"/>
    </xf>
    <xf numFmtId="167" fontId="19" fillId="28" borderId="31" xfId="0" applyNumberFormat="1" applyFont="1" applyFill="1" applyBorder="1" applyAlignment="1">
      <alignment vertical="center"/>
    </xf>
    <xf numFmtId="4" fontId="19" fillId="28" borderId="26" xfId="0" applyNumberFormat="1" applyFont="1" applyFill="1" applyBorder="1" applyAlignment="1">
      <alignment horizontal="center" vertical="center"/>
    </xf>
    <xf numFmtId="172" fontId="29" fillId="28" borderId="17" xfId="0" applyNumberFormat="1" applyFont="1" applyFill="1" applyBorder="1" applyAlignment="1">
      <alignment horizontal="center" vertical="center"/>
    </xf>
    <xf numFmtId="173" fontId="19" fillId="28" borderId="17" xfId="0" applyNumberFormat="1" applyFont="1" applyFill="1" applyBorder="1" applyAlignment="1">
      <alignment horizontal="center" vertical="center"/>
    </xf>
    <xf numFmtId="167" fontId="19" fillId="28" borderId="17" xfId="0" applyNumberFormat="1" applyFont="1" applyFill="1" applyBorder="1" applyAlignment="1">
      <alignment horizontal="right" vertical="center"/>
    </xf>
    <xf numFmtId="167" fontId="19" fillId="28" borderId="26" xfId="0" applyNumberFormat="1" applyFont="1" applyFill="1" applyBorder="1" applyAlignment="1">
      <alignment horizontal="right" vertical="center"/>
    </xf>
    <xf numFmtId="167" fontId="19" fillId="28" borderId="52" xfId="0" applyNumberFormat="1" applyFont="1" applyFill="1" applyBorder="1" applyAlignment="1">
      <alignment horizontal="right" vertical="center"/>
    </xf>
    <xf numFmtId="4" fontId="19" fillId="28" borderId="24" xfId="0" applyNumberFormat="1" applyFont="1" applyFill="1" applyBorder="1" applyAlignment="1">
      <alignment vertical="center"/>
    </xf>
    <xf numFmtId="0" fontId="19" fillId="26" borderId="50" xfId="0" applyFont="1" applyFill="1" applyBorder="1" applyAlignment="1">
      <alignment horizontal="center" vertical="center"/>
    </xf>
    <xf numFmtId="167" fontId="19" fillId="28" borderId="24" xfId="0" applyNumberFormat="1" applyFont="1" applyFill="1" applyBorder="1" applyAlignment="1">
      <alignment vertical="center"/>
    </xf>
    <xf numFmtId="172" fontId="18" fillId="26" borderId="0" xfId="0" applyNumberFormat="1" applyFont="1" applyFill="1" applyAlignment="1">
      <alignment vertical="center"/>
    </xf>
    <xf numFmtId="167" fontId="18" fillId="26" borderId="0" xfId="0" applyNumberFormat="1" applyFont="1" applyFill="1" applyAlignment="1">
      <alignment vertical="center"/>
    </xf>
    <xf numFmtId="171" fontId="18" fillId="26" borderId="0" xfId="0" applyNumberFormat="1" applyFont="1" applyFill="1" applyAlignment="1">
      <alignment vertical="center"/>
    </xf>
    <xf numFmtId="0" fontId="18" fillId="26" borderId="0" xfId="0" applyFont="1" applyFill="1" applyAlignment="1">
      <alignment horizontal="right" vertical="top" wrapText="1"/>
    </xf>
    <xf numFmtId="0" fontId="18" fillId="26" borderId="0" xfId="0" applyFont="1" applyFill="1" applyBorder="1" applyAlignment="1">
      <alignment vertical="top" wrapText="1"/>
    </xf>
    <xf numFmtId="3" fontId="25" fillId="26" borderId="26" xfId="0" applyNumberFormat="1" applyFont="1" applyFill="1" applyBorder="1" applyAlignment="1">
      <alignment horizontal="center" vertical="center" wrapText="1"/>
    </xf>
    <xf numFmtId="3" fontId="25" fillId="26" borderId="17" xfId="0" applyNumberFormat="1" applyFont="1" applyFill="1" applyBorder="1" applyAlignment="1">
      <alignment horizontal="center" vertical="center" wrapText="1"/>
    </xf>
    <xf numFmtId="3" fontId="25" fillId="26" borderId="45" xfId="0" applyNumberFormat="1" applyFont="1" applyFill="1" applyBorder="1" applyAlignment="1">
      <alignment horizontal="center" vertical="center" wrapText="1"/>
    </xf>
    <xf numFmtId="3" fontId="25" fillId="26" borderId="31" xfId="0" applyNumberFormat="1" applyFont="1" applyFill="1" applyBorder="1" applyAlignment="1">
      <alignment horizontal="center" vertical="center" wrapText="1"/>
    </xf>
    <xf numFmtId="3" fontId="30" fillId="26" borderId="0" xfId="0" applyNumberFormat="1" applyFont="1" applyFill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/>
    </xf>
    <xf numFmtId="171" fontId="18" fillId="26" borderId="43" xfId="0" applyNumberFormat="1" applyFont="1" applyFill="1" applyBorder="1" applyAlignment="1">
      <alignment horizontal="center"/>
    </xf>
    <xf numFmtId="171" fontId="18" fillId="26" borderId="34" xfId="0" applyNumberFormat="1" applyFont="1" applyFill="1" applyBorder="1" applyAlignment="1">
      <alignment horizontal="center" vertical="center" wrapText="1"/>
    </xf>
    <xf numFmtId="172" fontId="19" fillId="26" borderId="69" xfId="0" applyNumberFormat="1" applyFont="1" applyFill="1" applyBorder="1" applyAlignment="1">
      <alignment horizontal="center" vertical="center" wrapText="1"/>
    </xf>
    <xf numFmtId="166" fontId="18" fillId="26" borderId="0" xfId="0" applyNumberFormat="1" applyFont="1" applyFill="1" applyAlignment="1">
      <alignment vertical="top" wrapText="1"/>
    </xf>
    <xf numFmtId="0" fontId="18" fillId="26" borderId="47" xfId="0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15" xfId="0" applyNumberFormat="1" applyFont="1" applyFill="1" applyBorder="1" applyAlignment="1">
      <alignment horizontal="center" vertical="center"/>
    </xf>
    <xf numFmtId="0" fontId="27" fillId="26" borderId="11" xfId="0" applyFont="1" applyFill="1" applyBorder="1" applyAlignment="1">
      <alignment wrapText="1"/>
    </xf>
    <xf numFmtId="0" fontId="19" fillId="26" borderId="0" xfId="0" applyFont="1" applyFill="1" applyAlignment="1">
      <alignment horizontal="center" vertical="center"/>
    </xf>
    <xf numFmtId="164" fontId="31" fillId="26" borderId="0" xfId="0" applyNumberFormat="1" applyFont="1" applyFill="1" applyAlignment="1">
      <alignment horizontal="center" vertical="center"/>
    </xf>
    <xf numFmtId="0" fontId="32" fillId="26" borderId="0" xfId="0" applyFont="1" applyFill="1"/>
    <xf numFmtId="0" fontId="18" fillId="26" borderId="21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164" fontId="23" fillId="26" borderId="20" xfId="0" applyNumberFormat="1" applyFont="1" applyFill="1" applyBorder="1" applyAlignment="1">
      <alignment horizontal="center" vertical="center" wrapText="1"/>
    </xf>
    <xf numFmtId="164" fontId="23" fillId="26" borderId="16" xfId="0" applyNumberFormat="1" applyFont="1" applyFill="1" applyBorder="1" applyAlignment="1">
      <alignment horizontal="center" vertical="center" wrapText="1"/>
    </xf>
    <xf numFmtId="164" fontId="23" fillId="30" borderId="29" xfId="0" applyNumberFormat="1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0" fontId="23" fillId="30" borderId="17" xfId="0" applyFont="1" applyFill="1" applyBorder="1" applyAlignment="1">
      <alignment horizontal="center" vertical="center"/>
    </xf>
    <xf numFmtId="0" fontId="18" fillId="26" borderId="32" xfId="0" applyFont="1" applyFill="1" applyBorder="1" applyAlignment="1">
      <alignment horizontal="center" vertical="center"/>
    </xf>
    <xf numFmtId="164" fontId="18" fillId="26" borderId="67" xfId="0" applyNumberFormat="1" applyFont="1" applyFill="1" applyBorder="1" applyAlignment="1">
      <alignment horizontal="center" vertical="center"/>
    </xf>
    <xf numFmtId="0" fontId="18" fillId="26" borderId="35" xfId="0" applyFont="1" applyFill="1" applyBorder="1" applyAlignment="1">
      <alignment horizontal="center" vertical="center"/>
    </xf>
    <xf numFmtId="164" fontId="18" fillId="26" borderId="65" xfId="0" applyNumberFormat="1" applyFont="1" applyFill="1" applyBorder="1" applyAlignment="1">
      <alignment horizontal="center" vertical="center"/>
    </xf>
    <xf numFmtId="164" fontId="18" fillId="26" borderId="58" xfId="0" applyNumberFormat="1" applyFont="1" applyFill="1" applyBorder="1" applyAlignment="1">
      <alignment horizontal="center" vertical="center"/>
    </xf>
    <xf numFmtId="164" fontId="18" fillId="26" borderId="68" xfId="0" applyNumberFormat="1" applyFont="1" applyFill="1" applyBorder="1" applyAlignment="1">
      <alignment horizontal="center" vertical="center"/>
    </xf>
    <xf numFmtId="0" fontId="19" fillId="26" borderId="26" xfId="0" applyFont="1" applyFill="1" applyBorder="1" applyAlignment="1">
      <alignment vertical="center"/>
    </xf>
    <xf numFmtId="0" fontId="19" fillId="26" borderId="17" xfId="0" applyFont="1" applyFill="1" applyBorder="1" applyAlignment="1">
      <alignment vertical="center"/>
    </xf>
    <xf numFmtId="3" fontId="19" fillId="26" borderId="17" xfId="0" applyNumberFormat="1" applyFont="1" applyFill="1" applyBorder="1" applyAlignment="1">
      <alignment horizontal="center" vertical="center"/>
    </xf>
    <xf numFmtId="4" fontId="19" fillId="26" borderId="17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horizontal="center" vertical="center"/>
    </xf>
    <xf numFmtId="0" fontId="18" fillId="26" borderId="70" xfId="0" applyFont="1" applyFill="1" applyBorder="1" applyAlignment="1">
      <alignment horizontal="center" vertical="center" wrapText="1"/>
    </xf>
    <xf numFmtId="0" fontId="18" fillId="26" borderId="71" xfId="0" applyFont="1" applyFill="1" applyBorder="1" applyAlignment="1">
      <alignment horizontal="center" vertical="center" wrapText="1"/>
    </xf>
    <xf numFmtId="0" fontId="19" fillId="26" borderId="0" xfId="0" applyFont="1" applyFill="1" applyBorder="1" applyAlignment="1">
      <alignment horizontal="center" vertical="center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9" fillId="26" borderId="0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/>
    </xf>
    <xf numFmtId="0" fontId="18" fillId="26" borderId="58" xfId="0" applyFont="1" applyFill="1" applyBorder="1" applyAlignment="1">
      <alignment horizontal="center" vertical="center"/>
    </xf>
    <xf numFmtId="0" fontId="18" fillId="26" borderId="51" xfId="0" applyFont="1" applyFill="1" applyBorder="1" applyAlignment="1">
      <alignment horizontal="center" vertical="center"/>
    </xf>
    <xf numFmtId="0" fontId="19" fillId="26" borderId="0" xfId="0" applyFont="1" applyFill="1" applyBorder="1" applyAlignment="1">
      <alignment horizontal="center" vertical="top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30" borderId="11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9" fillId="24" borderId="32" xfId="0" applyFont="1" applyFill="1" applyBorder="1" applyAlignment="1">
      <alignment horizontal="center" vertical="center" wrapText="1"/>
    </xf>
    <xf numFmtId="0" fontId="19" fillId="24" borderId="33" xfId="0" applyFont="1" applyFill="1" applyBorder="1" applyAlignment="1">
      <alignment horizontal="center" vertical="center" wrapText="1"/>
    </xf>
    <xf numFmtId="0" fontId="19" fillId="24" borderId="34" xfId="0" applyFont="1" applyFill="1" applyBorder="1" applyAlignment="1">
      <alignment horizontal="center" vertical="center" wrapText="1"/>
    </xf>
    <xf numFmtId="0" fontId="19" fillId="26" borderId="21" xfId="0" applyFont="1" applyFill="1" applyBorder="1" applyAlignment="1">
      <alignment horizontal="center" vertical="center" wrapText="1"/>
    </xf>
    <xf numFmtId="0" fontId="19" fillId="26" borderId="48" xfId="0" applyFont="1" applyFill="1" applyBorder="1" applyAlignment="1">
      <alignment horizontal="center" vertical="center" wrapText="1"/>
    </xf>
    <xf numFmtId="0" fontId="19" fillId="25" borderId="26" xfId="0" applyFont="1" applyFill="1" applyBorder="1" applyAlignment="1">
      <alignment horizontal="center" vertical="center" wrapText="1"/>
    </xf>
    <xf numFmtId="0" fontId="19" fillId="25" borderId="17" xfId="0" applyFont="1" applyFill="1" applyBorder="1" applyAlignment="1">
      <alignment horizontal="center" vertical="center" wrapText="1"/>
    </xf>
    <xf numFmtId="0" fontId="19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4" xfId="0" applyFont="1" applyFill="1" applyBorder="1" applyAlignment="1">
      <alignment horizontal="center" vertical="center" textRotation="90" wrapText="1"/>
    </xf>
    <xf numFmtId="0" fontId="19" fillId="25" borderId="57" xfId="0" applyFont="1" applyFill="1" applyBorder="1" applyAlignment="1">
      <alignment horizontal="left" vertical="center" wrapText="1"/>
    </xf>
    <xf numFmtId="0" fontId="19" fillId="25" borderId="42" xfId="0" applyFont="1" applyFill="1" applyBorder="1" applyAlignment="1">
      <alignment horizontal="left" vertical="center" wrapText="1"/>
    </xf>
    <xf numFmtId="0" fontId="19" fillId="25" borderId="21" xfId="0" applyFont="1" applyFill="1" applyBorder="1" applyAlignment="1">
      <alignment horizontal="center" vertical="center" wrapText="1"/>
    </xf>
    <xf numFmtId="0" fontId="19" fillId="25" borderId="47" xfId="0" applyFont="1" applyFill="1" applyBorder="1" applyAlignment="1">
      <alignment horizontal="center" vertical="center" wrapText="1"/>
    </xf>
    <xf numFmtId="0" fontId="19" fillId="25" borderId="48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19" fillId="25" borderId="54" xfId="0" applyFont="1" applyFill="1" applyBorder="1" applyAlignment="1">
      <alignment horizontal="center" vertical="center" wrapText="1"/>
    </xf>
    <xf numFmtId="0" fontId="19" fillId="25" borderId="59" xfId="0" applyFont="1" applyFill="1" applyBorder="1" applyAlignment="1">
      <alignment horizontal="center" vertical="center" wrapText="1"/>
    </xf>
    <xf numFmtId="0" fontId="19" fillId="25" borderId="60" xfId="0" applyFont="1" applyFill="1" applyBorder="1" applyAlignment="1">
      <alignment horizontal="center" vertical="center" wrapText="1"/>
    </xf>
    <xf numFmtId="0" fontId="19" fillId="25" borderId="36" xfId="0" applyFont="1" applyFill="1" applyBorder="1" applyAlignment="1">
      <alignment horizontal="center" vertical="center" wrapText="1"/>
    </xf>
    <xf numFmtId="0" fontId="19" fillId="25" borderId="42" xfId="0" applyFont="1" applyFill="1" applyBorder="1" applyAlignment="1">
      <alignment horizontal="center" vertical="center" wrapText="1"/>
    </xf>
    <xf numFmtId="0" fontId="19" fillId="25" borderId="63" xfId="0" applyFont="1" applyFill="1" applyBorder="1" applyAlignment="1">
      <alignment horizontal="center" vertical="center" wrapText="1"/>
    </xf>
    <xf numFmtId="0" fontId="18" fillId="26" borderId="28" xfId="0" applyFont="1" applyFill="1" applyBorder="1" applyAlignment="1">
      <alignment horizontal="center" vertical="center" wrapText="1"/>
    </xf>
    <xf numFmtId="0" fontId="23" fillId="26" borderId="30" xfId="0" applyFont="1" applyFill="1" applyBorder="1" applyAlignment="1">
      <alignment horizontal="center" vertical="center" wrapText="1"/>
    </xf>
    <xf numFmtId="0" fontId="19" fillId="29" borderId="32" xfId="0" applyFont="1" applyFill="1" applyBorder="1" applyAlignment="1">
      <alignment horizontal="center" vertical="center" wrapText="1"/>
    </xf>
    <xf numFmtId="0" fontId="19" fillId="29" borderId="34" xfId="0" applyFont="1" applyFill="1" applyBorder="1" applyAlignment="1">
      <alignment horizontal="center" vertical="center" wrapText="1"/>
    </xf>
    <xf numFmtId="0" fontId="19" fillId="25" borderId="15" xfId="0" applyFont="1" applyFill="1" applyBorder="1" applyAlignment="1">
      <alignment horizontal="center" vertical="center" wrapText="1"/>
    </xf>
    <xf numFmtId="0" fontId="19" fillId="25" borderId="22" xfId="0" applyFont="1" applyFill="1" applyBorder="1" applyAlignment="1">
      <alignment horizontal="center" vertical="center" wrapText="1"/>
    </xf>
    <xf numFmtId="0" fontId="19" fillId="25" borderId="16" xfId="0" applyFont="1" applyFill="1" applyBorder="1" applyAlignment="1">
      <alignment horizontal="center" vertical="center" wrapText="1"/>
    </xf>
    <xf numFmtId="0" fontId="19" fillId="31" borderId="36" xfId="0" applyFont="1" applyFill="1" applyBorder="1" applyAlignment="1">
      <alignment horizontal="center" vertical="center" wrapText="1"/>
    </xf>
    <xf numFmtId="0" fontId="19" fillId="31" borderId="37" xfId="0" applyFont="1" applyFill="1" applyBorder="1" applyAlignment="1">
      <alignment horizontal="center" vertical="center" wrapText="1"/>
    </xf>
    <xf numFmtId="0" fontId="19" fillId="31" borderId="39" xfId="0" applyFont="1" applyFill="1" applyBorder="1" applyAlignment="1">
      <alignment horizontal="center" vertical="center" wrapText="1"/>
    </xf>
    <xf numFmtId="0" fontId="19" fillId="25" borderId="43" xfId="0" applyFont="1" applyFill="1" applyBorder="1" applyAlignment="1">
      <alignment horizontal="center" vertical="center" wrapText="1"/>
    </xf>
    <xf numFmtId="0" fontId="19" fillId="25" borderId="14" xfId="0" applyFont="1" applyFill="1" applyBorder="1" applyAlignment="1">
      <alignment horizontal="center" vertical="center" wrapText="1"/>
    </xf>
    <xf numFmtId="0" fontId="19" fillId="25" borderId="44" xfId="0" applyFont="1" applyFill="1" applyBorder="1" applyAlignment="1">
      <alignment horizontal="center" vertical="center" wrapText="1"/>
    </xf>
    <xf numFmtId="0" fontId="19" fillId="32" borderId="42" xfId="0" applyFont="1" applyFill="1" applyBorder="1" applyAlignment="1">
      <alignment horizontal="center" vertical="center" wrapText="1"/>
    </xf>
    <xf numFmtId="0" fontId="19" fillId="32" borderId="22" xfId="0" applyFont="1" applyFill="1" applyBorder="1" applyAlignment="1">
      <alignment horizontal="center" vertical="center" wrapText="1"/>
    </xf>
    <xf numFmtId="0" fontId="19" fillId="32" borderId="2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Z20"/>
  <sheetViews>
    <sheetView view="pageBreakPreview" topLeftCell="A7" zoomScaleNormal="90" zoomScaleSheetLayoutView="100" workbookViewId="0">
      <selection activeCell="F9" sqref="F9"/>
    </sheetView>
  </sheetViews>
  <sheetFormatPr defaultRowHeight="18.75"/>
  <cols>
    <col min="1" max="1" width="8.5703125" style="68" customWidth="1"/>
    <col min="2" max="2" width="30.7109375" style="68" customWidth="1"/>
    <col min="3" max="3" width="19.5703125" style="150" customWidth="1"/>
    <col min="4" max="4" width="22.42578125" style="150" customWidth="1"/>
    <col min="5" max="7" width="19.42578125" style="130" customWidth="1"/>
    <col min="8" max="8" width="19.42578125" style="68" customWidth="1"/>
    <col min="9" max="234" width="9.140625" style="68"/>
    <col min="235" max="16384" width="9.140625" style="131"/>
  </cols>
  <sheetData>
    <row r="2" spans="1:8" s="6" customFormat="1" ht="56.25" customHeight="1">
      <c r="A2" s="160" t="s">
        <v>54</v>
      </c>
      <c r="B2" s="160"/>
      <c r="C2" s="160"/>
      <c r="D2" s="160"/>
      <c r="E2" s="160"/>
      <c r="F2" s="160"/>
      <c r="G2" s="160"/>
      <c r="H2" s="160"/>
    </row>
    <row r="3" spans="1:8" s="6" customFormat="1">
      <c r="B3" s="153"/>
      <c r="C3" s="153"/>
      <c r="D3" s="153"/>
      <c r="E3" s="153"/>
      <c r="F3" s="153"/>
      <c r="G3" s="153"/>
    </row>
    <row r="4" spans="1:8" ht="19.5" thickBot="1">
      <c r="B4" s="6"/>
      <c r="C4" s="129"/>
      <c r="D4" s="129"/>
    </row>
    <row r="5" spans="1:8" ht="20.25" customHeight="1" thickBot="1">
      <c r="A5" s="162" t="s">
        <v>0</v>
      </c>
      <c r="B5" s="154" t="s">
        <v>7</v>
      </c>
      <c r="C5" s="157" t="s">
        <v>40</v>
      </c>
      <c r="D5" s="158"/>
      <c r="E5" s="159"/>
      <c r="F5" s="159"/>
      <c r="G5" s="159"/>
      <c r="H5" s="159"/>
    </row>
    <row r="6" spans="1:8" s="9" customFormat="1" ht="74.25" customHeight="1">
      <c r="A6" s="163"/>
      <c r="B6" s="155"/>
      <c r="C6" s="132" t="s">
        <v>104</v>
      </c>
      <c r="D6" s="151" t="s">
        <v>46</v>
      </c>
      <c r="E6" s="161" t="s">
        <v>105</v>
      </c>
      <c r="F6" s="161"/>
      <c r="G6" s="161"/>
      <c r="H6" s="161"/>
    </row>
    <row r="7" spans="1:8" s="9" customFormat="1" ht="19.5" customHeight="1">
      <c r="A7" s="163"/>
      <c r="B7" s="155"/>
      <c r="C7" s="133" t="s">
        <v>94</v>
      </c>
      <c r="D7" s="152" t="s">
        <v>97</v>
      </c>
      <c r="E7" s="161"/>
      <c r="F7" s="161"/>
      <c r="G7" s="161"/>
      <c r="H7" s="161"/>
    </row>
    <row r="8" spans="1:8" s="9" customFormat="1" ht="123" customHeight="1" thickBot="1">
      <c r="A8" s="163"/>
      <c r="B8" s="156"/>
      <c r="C8" s="134" t="s">
        <v>1</v>
      </c>
      <c r="D8" s="134" t="s">
        <v>2</v>
      </c>
      <c r="E8" s="135" t="s">
        <v>76</v>
      </c>
      <c r="F8" s="136" t="s">
        <v>77</v>
      </c>
      <c r="G8" s="136" t="s">
        <v>78</v>
      </c>
      <c r="H8" s="136" t="s">
        <v>79</v>
      </c>
    </row>
    <row r="9" spans="1:8" s="43" customFormat="1" ht="71.25" customHeight="1" thickBot="1">
      <c r="A9" s="164"/>
      <c r="B9" s="37" t="s">
        <v>3</v>
      </c>
      <c r="C9" s="38" t="s">
        <v>5</v>
      </c>
      <c r="D9" s="38" t="s">
        <v>4</v>
      </c>
      <c r="E9" s="137" t="s">
        <v>80</v>
      </c>
      <c r="F9" s="137" t="s">
        <v>81</v>
      </c>
      <c r="G9" s="137" t="s">
        <v>82</v>
      </c>
      <c r="H9" s="137" t="s">
        <v>52</v>
      </c>
    </row>
    <row r="10" spans="1:8" s="43" customFormat="1" ht="19.5" thickBot="1">
      <c r="A10" s="138">
        <v>1</v>
      </c>
      <c r="B10" s="139">
        <v>2</v>
      </c>
      <c r="C10" s="139">
        <v>3</v>
      </c>
      <c r="D10" s="139">
        <v>4</v>
      </c>
      <c r="E10" s="139">
        <v>5</v>
      </c>
      <c r="F10" s="139">
        <v>6</v>
      </c>
      <c r="G10" s="139">
        <v>7</v>
      </c>
      <c r="H10" s="139">
        <v>8</v>
      </c>
    </row>
    <row r="11" spans="1:8">
      <c r="A11" s="140">
        <v>1</v>
      </c>
      <c r="B11" s="44" t="s">
        <v>67</v>
      </c>
      <c r="C11" s="141">
        <v>1750</v>
      </c>
      <c r="D11" s="4">
        <v>2678906</v>
      </c>
      <c r="E11" s="1">
        <v>30</v>
      </c>
      <c r="F11" s="2">
        <v>268.97000000000003</v>
      </c>
      <c r="G11" s="3">
        <v>11699.98</v>
      </c>
      <c r="H11" s="3">
        <v>6</v>
      </c>
    </row>
    <row r="12" spans="1:8">
      <c r="A12" s="142">
        <v>2</v>
      </c>
      <c r="B12" s="69" t="s">
        <v>68</v>
      </c>
      <c r="C12" s="143">
        <v>1318</v>
      </c>
      <c r="D12" s="4">
        <v>2789813</v>
      </c>
      <c r="E12" s="1">
        <v>18</v>
      </c>
      <c r="F12" s="2">
        <v>289.81</v>
      </c>
      <c r="G12" s="3">
        <v>10873.51</v>
      </c>
      <c r="H12" s="3">
        <v>5</v>
      </c>
    </row>
    <row r="13" spans="1:8">
      <c r="A13" s="142">
        <v>3</v>
      </c>
      <c r="B13" s="69" t="s">
        <v>69</v>
      </c>
      <c r="C13" s="143">
        <v>1937</v>
      </c>
      <c r="D13" s="4">
        <v>3572379</v>
      </c>
      <c r="E13" s="1">
        <v>2</v>
      </c>
      <c r="F13" s="2">
        <v>428.53</v>
      </c>
      <c r="G13" s="3">
        <v>11675.03</v>
      </c>
      <c r="H13" s="3">
        <v>8</v>
      </c>
    </row>
    <row r="14" spans="1:8">
      <c r="A14" s="142">
        <v>4</v>
      </c>
      <c r="B14" s="69" t="s">
        <v>70</v>
      </c>
      <c r="C14" s="143">
        <v>1591</v>
      </c>
      <c r="D14" s="4">
        <v>3132930</v>
      </c>
      <c r="E14" s="1">
        <v>22</v>
      </c>
      <c r="F14" s="2">
        <v>326.52</v>
      </c>
      <c r="G14" s="3">
        <v>7761.32</v>
      </c>
      <c r="H14" s="3">
        <v>5</v>
      </c>
    </row>
    <row r="15" spans="1:8">
      <c r="A15" s="142">
        <v>5</v>
      </c>
      <c r="B15" s="69" t="s">
        <v>71</v>
      </c>
      <c r="C15" s="143">
        <v>1063</v>
      </c>
      <c r="D15" s="4">
        <v>2651170</v>
      </c>
      <c r="E15" s="1">
        <v>34</v>
      </c>
      <c r="F15" s="2">
        <v>439.34</v>
      </c>
      <c r="G15" s="3">
        <v>11734.18</v>
      </c>
      <c r="H15" s="3">
        <v>5</v>
      </c>
    </row>
    <row r="16" spans="1:8">
      <c r="A16" s="142">
        <v>6</v>
      </c>
      <c r="B16" s="69" t="s">
        <v>72</v>
      </c>
      <c r="C16" s="143">
        <v>1030</v>
      </c>
      <c r="D16" s="4">
        <v>2600802</v>
      </c>
      <c r="E16" s="1">
        <v>45</v>
      </c>
      <c r="F16" s="2">
        <v>277.26</v>
      </c>
      <c r="G16" s="3">
        <v>6450.6</v>
      </c>
      <c r="H16" s="3">
        <v>3</v>
      </c>
    </row>
    <row r="17" spans="1:8">
      <c r="A17" s="142">
        <v>7</v>
      </c>
      <c r="B17" s="69" t="s">
        <v>73</v>
      </c>
      <c r="C17" s="143">
        <v>1752</v>
      </c>
      <c r="D17" s="4">
        <v>3590159</v>
      </c>
      <c r="E17" s="1">
        <v>15</v>
      </c>
      <c r="F17" s="2">
        <v>399.74</v>
      </c>
      <c r="G17" s="3">
        <v>8289.85</v>
      </c>
      <c r="H17" s="3">
        <v>5</v>
      </c>
    </row>
    <row r="18" spans="1:8">
      <c r="A18" s="142">
        <v>8</v>
      </c>
      <c r="B18" s="88" t="s">
        <v>74</v>
      </c>
      <c r="C18" s="144">
        <v>1396</v>
      </c>
      <c r="D18" s="4">
        <v>2895773</v>
      </c>
      <c r="E18" s="1">
        <v>40</v>
      </c>
      <c r="F18" s="2">
        <v>350</v>
      </c>
      <c r="G18" s="3">
        <v>9243.1</v>
      </c>
      <c r="H18" s="3">
        <v>5</v>
      </c>
    </row>
    <row r="19" spans="1:8" ht="19.5" thickBot="1">
      <c r="A19" s="142">
        <v>9</v>
      </c>
      <c r="B19" s="88" t="s">
        <v>75</v>
      </c>
      <c r="C19" s="145">
        <v>6310</v>
      </c>
      <c r="D19" s="4">
        <v>22694864</v>
      </c>
      <c r="E19" s="1">
        <v>0</v>
      </c>
      <c r="F19" s="2">
        <v>23.39</v>
      </c>
      <c r="G19" s="3">
        <v>997</v>
      </c>
      <c r="H19" s="3">
        <v>2</v>
      </c>
    </row>
    <row r="20" spans="1:8" ht="19.5" thickBot="1">
      <c r="A20" s="146"/>
      <c r="B20" s="147" t="s">
        <v>6</v>
      </c>
      <c r="C20" s="148">
        <f t="shared" ref="C20:H20" si="0">SUM(C11:C19)</f>
        <v>18147</v>
      </c>
      <c r="D20" s="148">
        <f t="shared" si="0"/>
        <v>46606796</v>
      </c>
      <c r="E20" s="148">
        <f t="shared" si="0"/>
        <v>206</v>
      </c>
      <c r="F20" s="148">
        <f t="shared" si="0"/>
        <v>2803.56</v>
      </c>
      <c r="G20" s="149">
        <f t="shared" si="0"/>
        <v>78724.570000000007</v>
      </c>
      <c r="H20" s="148">
        <f t="shared" si="0"/>
        <v>44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1.1023622047244095" right="0.51181102362204722" top="0.78740157480314965" bottom="0.78740157480314965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zoomScale="110" zoomScaleNormal="110" workbookViewId="0">
      <selection activeCell="A4" sqref="A4:A5"/>
    </sheetView>
  </sheetViews>
  <sheetFormatPr defaultColWidth="9.140625" defaultRowHeight="18.75"/>
  <cols>
    <col min="1" max="1" width="6.140625" style="5" customWidth="1"/>
    <col min="2" max="2" width="37.5703125" style="5" customWidth="1"/>
    <col min="3" max="3" width="18" style="5" customWidth="1"/>
    <col min="4" max="4" width="21.28515625" style="5" customWidth="1"/>
    <col min="5" max="5" width="18.85546875" style="5" customWidth="1"/>
    <col min="6" max="6" width="18.28515625" style="5" customWidth="1"/>
    <col min="7" max="7" width="18.85546875" style="5" customWidth="1"/>
    <col min="8" max="8" width="19.85546875" style="5" customWidth="1"/>
    <col min="9" max="9" width="13.42578125" style="5" bestFit="1" customWidth="1"/>
    <col min="10" max="16384" width="9.140625" style="5"/>
  </cols>
  <sheetData>
    <row r="1" spans="1:9">
      <c r="C1" s="111"/>
      <c r="D1" s="111"/>
      <c r="E1" s="111"/>
      <c r="F1" s="111"/>
      <c r="G1" s="111"/>
    </row>
    <row r="2" spans="1:9">
      <c r="A2" s="165" t="s">
        <v>47</v>
      </c>
      <c r="B2" s="165"/>
      <c r="C2" s="165"/>
      <c r="D2" s="165"/>
      <c r="E2" s="165"/>
      <c r="F2" s="165"/>
      <c r="G2" s="165"/>
      <c r="H2" s="165"/>
    </row>
    <row r="3" spans="1:9" ht="19.5" thickBot="1">
      <c r="B3" s="112"/>
    </row>
    <row r="4" spans="1:9" s="9" customFormat="1" ht="117" customHeight="1">
      <c r="A4" s="166" t="s">
        <v>0</v>
      </c>
      <c r="B4" s="166" t="s">
        <v>45</v>
      </c>
      <c r="C4" s="31" t="s">
        <v>83</v>
      </c>
      <c r="D4" s="31" t="s">
        <v>84</v>
      </c>
      <c r="E4" s="31" t="s">
        <v>85</v>
      </c>
      <c r="F4" s="31" t="s">
        <v>86</v>
      </c>
      <c r="G4" s="31" t="s">
        <v>87</v>
      </c>
      <c r="H4" s="168" t="s">
        <v>88</v>
      </c>
    </row>
    <row r="5" spans="1:9" s="32" customFormat="1" ht="45.75" customHeight="1" thickBot="1">
      <c r="A5" s="167"/>
      <c r="B5" s="167"/>
      <c r="C5" s="31" t="s">
        <v>89</v>
      </c>
      <c r="D5" s="31" t="s">
        <v>90</v>
      </c>
      <c r="E5" s="31" t="s">
        <v>91</v>
      </c>
      <c r="F5" s="31" t="s">
        <v>92</v>
      </c>
      <c r="G5" s="31" t="s">
        <v>93</v>
      </c>
      <c r="H5" s="168"/>
    </row>
    <row r="6" spans="1:9" s="117" customFormat="1" ht="20.25" thickBot="1">
      <c r="A6" s="113">
        <v>1</v>
      </c>
      <c r="B6" s="114">
        <f t="shared" ref="B6:E6" si="0">A6+1</f>
        <v>2</v>
      </c>
      <c r="C6" s="114">
        <f t="shared" si="0"/>
        <v>3</v>
      </c>
      <c r="D6" s="114">
        <f t="shared" si="0"/>
        <v>4</v>
      </c>
      <c r="E6" s="114">
        <f t="shared" si="0"/>
        <v>5</v>
      </c>
      <c r="F6" s="115"/>
      <c r="G6" s="115">
        <f>E6+1</f>
        <v>6</v>
      </c>
      <c r="H6" s="116">
        <f>G6+1</f>
        <v>7</v>
      </c>
    </row>
    <row r="7" spans="1:9" ht="19.5" thickBot="1">
      <c r="A7" s="118">
        <v>1</v>
      </c>
      <c r="B7" s="44" t="s">
        <v>67</v>
      </c>
      <c r="C7" s="119">
        <f>1+'Исходные данные'!E11/'Исходные данные'!E16</f>
        <v>1.6666666666666665</v>
      </c>
      <c r="D7" s="119">
        <v>1.2</v>
      </c>
      <c r="E7" s="120">
        <f>1+'Исходные данные'!F11/'Исходные данные'!F15</f>
        <v>1.612213775208267</v>
      </c>
      <c r="F7" s="121">
        <f>1+'Исходные данные'!G11/'Исходные данные'!G15</f>
        <v>1.9970854375849014</v>
      </c>
      <c r="G7" s="122">
        <f>1+'Исходные данные'!H11/'Исходные данные'!H13</f>
        <v>1.75</v>
      </c>
      <c r="H7" s="123">
        <f>(C7+E7+F7+G7)/4*D7</f>
        <v>2.1077897638379506</v>
      </c>
      <c r="I7" s="124"/>
    </row>
    <row r="8" spans="1:9" ht="19.5" thickBot="1">
      <c r="A8" s="125">
        <v>2</v>
      </c>
      <c r="B8" s="69" t="s">
        <v>68</v>
      </c>
      <c r="C8" s="119">
        <f>1+'Исходные данные'!E12/'Исходные данные'!E16</f>
        <v>1.4</v>
      </c>
      <c r="D8" s="126">
        <v>1.65</v>
      </c>
      <c r="E8" s="120">
        <f>1+'Исходные данные'!F12/'Исходные данные'!F15</f>
        <v>1.6596485637547231</v>
      </c>
      <c r="F8" s="121">
        <f>1+'Исходные данные'!G12/'Исходные данные'!G15</f>
        <v>1.9266527358537195</v>
      </c>
      <c r="G8" s="122">
        <f>1+'Исходные данные'!H12/'Исходные данные'!H13</f>
        <v>1.625</v>
      </c>
      <c r="H8" s="123">
        <f t="shared" ref="H8:H15" si="1">(C8+E8+F8+G8)/4*D8</f>
        <v>2.727161786088482</v>
      </c>
      <c r="I8" s="124"/>
    </row>
    <row r="9" spans="1:9" ht="19.5" thickBot="1">
      <c r="A9" s="125">
        <v>3</v>
      </c>
      <c r="B9" s="69" t="s">
        <v>69</v>
      </c>
      <c r="C9" s="119">
        <f>1+'Исходные данные'!E13/'Исходные данные'!E16</f>
        <v>1.0444444444444445</v>
      </c>
      <c r="D9" s="126">
        <v>1.1000000000000001</v>
      </c>
      <c r="E9" s="120">
        <f>1+'Исходные данные'!F13/'Исходные данные'!F15</f>
        <v>1.9753949105476396</v>
      </c>
      <c r="F9" s="121">
        <f>1+'Исходные данные'!G13/'Исходные данные'!G15</f>
        <v>1.9949591705598517</v>
      </c>
      <c r="G9" s="122">
        <f>1+'Исходные данные'!H13/'Исходные данные'!H13</f>
        <v>2</v>
      </c>
      <c r="H9" s="123">
        <f t="shared" si="1"/>
        <v>1.9290695945267824</v>
      </c>
      <c r="I9" s="124"/>
    </row>
    <row r="10" spans="1:9" ht="19.5" thickBot="1">
      <c r="A10" s="125">
        <v>4</v>
      </c>
      <c r="B10" s="69" t="s">
        <v>70</v>
      </c>
      <c r="C10" s="119">
        <f>1+'Исходные данные'!E14/'Исходные данные'!E16</f>
        <v>1.4888888888888889</v>
      </c>
      <c r="D10" s="126">
        <v>1.3</v>
      </c>
      <c r="E10" s="120">
        <f>1+'Исходные данные'!F14/'Исходные данные'!F15</f>
        <v>1.7432057176674101</v>
      </c>
      <c r="F10" s="121">
        <f>1+'Исходные данные'!G14/'Исходные данные'!G15</f>
        <v>1.6614284082909925</v>
      </c>
      <c r="G10" s="122">
        <f>1+'Исходные данные'!H14/'Исходные данные'!H13</f>
        <v>1.625</v>
      </c>
      <c r="H10" s="123">
        <f t="shared" si="1"/>
        <v>2.1185199798253698</v>
      </c>
      <c r="I10" s="124"/>
    </row>
    <row r="11" spans="1:9" ht="19.5" thickBot="1">
      <c r="A11" s="125">
        <v>5</v>
      </c>
      <c r="B11" s="69" t="s">
        <v>71</v>
      </c>
      <c r="C11" s="119">
        <f>1+'Исходные данные'!E15/'Исходные данные'!E16</f>
        <v>1.7555555555555555</v>
      </c>
      <c r="D11" s="126">
        <v>1.8</v>
      </c>
      <c r="E11" s="120">
        <f>1+'Исходные данные'!F15/'Исходные данные'!F15</f>
        <v>2</v>
      </c>
      <c r="F11" s="121">
        <f>1+'Исходные данные'!G15/'Исходные данные'!G15</f>
        <v>2</v>
      </c>
      <c r="G11" s="122">
        <f>1+'Исходные данные'!H15/'Исходные данные'!H13</f>
        <v>1.625</v>
      </c>
      <c r="H11" s="123">
        <f t="shared" si="1"/>
        <v>3.32125</v>
      </c>
      <c r="I11" s="124"/>
    </row>
    <row r="12" spans="1:9" ht="19.5" thickBot="1">
      <c r="A12" s="125">
        <v>6</v>
      </c>
      <c r="B12" s="69" t="s">
        <v>72</v>
      </c>
      <c r="C12" s="119">
        <f>1+'Исходные данные'!E16/'Исходные данные'!E16</f>
        <v>2</v>
      </c>
      <c r="D12" s="126">
        <v>2.1</v>
      </c>
      <c r="E12" s="120">
        <f>1+'Исходные данные'!F16/'Исходные данные'!F15</f>
        <v>1.6310829881185414</v>
      </c>
      <c r="F12" s="121">
        <f>1+'Исходные данные'!G16/'Исходные данные'!G15</f>
        <v>1.549727377626728</v>
      </c>
      <c r="G12" s="122">
        <f>1+'Исходные данные'!H16/'Исходные данные'!H13</f>
        <v>1.375</v>
      </c>
      <c r="H12" s="123">
        <f t="shared" si="1"/>
        <v>3.4418004420162669</v>
      </c>
      <c r="I12" s="124"/>
    </row>
    <row r="13" spans="1:9" ht="19.5" thickBot="1">
      <c r="A13" s="125">
        <v>7</v>
      </c>
      <c r="B13" s="69" t="s">
        <v>73</v>
      </c>
      <c r="C13" s="119">
        <f>1+'Исходные данные'!E17/'Исходные данные'!E16</f>
        <v>1.3333333333333333</v>
      </c>
      <c r="D13" s="126">
        <v>1.2</v>
      </c>
      <c r="E13" s="120">
        <f>1+'Исходные данные'!F17/'Исходные данные'!F15</f>
        <v>1.9098647971957936</v>
      </c>
      <c r="F13" s="121">
        <f>1+'Исходные данные'!G17/'Исходные данные'!G15</f>
        <v>1.7064703285615186</v>
      </c>
      <c r="G13" s="122">
        <f>1+'Исходные данные'!H17/'Исходные данные'!H13</f>
        <v>1.625</v>
      </c>
      <c r="H13" s="123">
        <f t="shared" si="1"/>
        <v>1.9724005377271936</v>
      </c>
      <c r="I13" s="124"/>
    </row>
    <row r="14" spans="1:9" ht="19.5" thickBot="1">
      <c r="A14" s="125">
        <v>8</v>
      </c>
      <c r="B14" s="88" t="s">
        <v>74</v>
      </c>
      <c r="C14" s="119">
        <f>1+'Исходные данные'!E18/'Исходные данные'!E16</f>
        <v>1.8888888888888888</v>
      </c>
      <c r="D14" s="127">
        <v>1.3</v>
      </c>
      <c r="E14" s="120">
        <f>1+'Исходные данные'!F18/'Исходные данные'!F15</f>
        <v>1.7966495197341468</v>
      </c>
      <c r="F14" s="121">
        <f>1+'Исходные данные'!G18/'Исходные данные'!G15</f>
        <v>1.7877073642981443</v>
      </c>
      <c r="G14" s="122">
        <f>1+'Исходные данные'!H18/'Исходные данные'!H13</f>
        <v>1.625</v>
      </c>
      <c r="H14" s="123">
        <f t="shared" si="1"/>
        <v>2.3069298761993835</v>
      </c>
      <c r="I14" s="124"/>
    </row>
    <row r="15" spans="1:9">
      <c r="A15" s="125">
        <v>9</v>
      </c>
      <c r="B15" s="128" t="s">
        <v>75</v>
      </c>
      <c r="C15" s="119">
        <f>1+'Исходные данные'!E19/'Исходные данные'!E16</f>
        <v>1</v>
      </c>
      <c r="D15" s="126">
        <v>1.05</v>
      </c>
      <c r="E15" s="120">
        <f>1+'Исходные данные'!F19/'Исходные данные'!F15</f>
        <v>1.0532389493330905</v>
      </c>
      <c r="F15" s="121">
        <f>1+'Исходные данные'!G19/'Исходные данные'!G15</f>
        <v>1.0849654598787475</v>
      </c>
      <c r="G15" s="122">
        <f>1+'Исходные данные'!H19/'Исходные данные'!H13</f>
        <v>1.25</v>
      </c>
      <c r="H15" s="123">
        <f t="shared" si="1"/>
        <v>1.1519036574181074</v>
      </c>
      <c r="I15" s="124"/>
    </row>
  </sheetData>
  <sheetProtection selectLockedCells="1" selectUnlockedCells="1"/>
  <mergeCells count="4">
    <mergeCell ref="A2:H2"/>
    <mergeCell ref="A4:A5"/>
    <mergeCell ref="B4:B5"/>
    <mergeCell ref="H4:H5"/>
  </mergeCells>
  <pageMargins left="1.1023622047244095" right="0.51181102362204722" top="0.78740157480314965" bottom="0.78740157480314965" header="0.27559055118110237" footer="0.51181102362204722"/>
  <pageSetup paperSize="9" scale="7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23"/>
  <sheetViews>
    <sheetView tabSelected="1" zoomScale="75" zoomScaleNormal="75" workbookViewId="0">
      <pane xSplit="1" topLeftCell="B1" activePane="topRight" state="frozen"/>
      <selection pane="topRight" activeCell="G4" sqref="G4:G5"/>
    </sheetView>
  </sheetViews>
  <sheetFormatPr defaultColWidth="15.28515625" defaultRowHeight="18.75"/>
  <cols>
    <col min="1" max="1" width="34.7109375" style="68" customWidth="1"/>
    <col min="2" max="2" width="19.85546875" style="68" customWidth="1"/>
    <col min="3" max="3" width="12.140625" style="68" customWidth="1"/>
    <col min="4" max="4" width="20.5703125" style="68" customWidth="1"/>
    <col min="5" max="5" width="12.85546875" style="68" customWidth="1"/>
    <col min="6" max="6" width="17.42578125" style="68" customWidth="1"/>
    <col min="7" max="7" width="12.5703125" style="68" customWidth="1"/>
    <col min="8" max="8" width="18.42578125" style="68" customWidth="1"/>
    <col min="9" max="10" width="15.42578125" style="68" customWidth="1"/>
    <col min="11" max="11" width="18" style="68" customWidth="1"/>
    <col min="12" max="12" width="19.28515625" style="68" customWidth="1"/>
    <col min="13" max="13" width="14.42578125" style="68" customWidth="1"/>
    <col min="14" max="14" width="13.28515625" style="68" customWidth="1"/>
    <col min="15" max="15" width="16" style="68" customWidth="1"/>
    <col min="16" max="16" width="16.85546875" style="68" customWidth="1"/>
    <col min="17" max="17" width="16.7109375" style="68" customWidth="1"/>
    <col min="18" max="18" width="19.5703125" style="68" customWidth="1"/>
    <col min="19" max="19" width="13.7109375" style="68" customWidth="1"/>
    <col min="20" max="20" width="11.5703125" style="68" customWidth="1"/>
    <col min="21" max="21" width="17.140625" style="68" customWidth="1"/>
    <col min="22" max="22" width="18.85546875" style="68" customWidth="1"/>
    <col min="23" max="23" width="16.28515625" style="68" customWidth="1"/>
    <col min="24" max="24" width="19" style="68" customWidth="1"/>
    <col min="25" max="25" width="14.85546875" style="68" customWidth="1"/>
    <col min="26" max="26" width="10.5703125" style="68" customWidth="1"/>
    <col min="27" max="27" width="22.5703125" style="68" customWidth="1"/>
    <col min="28" max="28" width="24.42578125" style="68" customWidth="1"/>
    <col min="29" max="29" width="16.28515625" style="68" customWidth="1"/>
    <col min="30" max="30" width="21" style="68" customWidth="1"/>
    <col min="31" max="31" width="13.140625" style="68" customWidth="1"/>
    <col min="32" max="32" width="11.28515625" style="68" customWidth="1"/>
    <col min="33" max="33" width="18.7109375" style="68" customWidth="1"/>
    <col min="34" max="34" width="22.7109375" style="68" customWidth="1"/>
    <col min="35" max="35" width="16.28515625" style="68" customWidth="1"/>
    <col min="36" max="36" width="14.5703125" style="68" customWidth="1"/>
    <col min="37" max="37" width="13.42578125" style="68" customWidth="1"/>
    <col min="38" max="38" width="11.140625" style="68" customWidth="1"/>
    <col min="39" max="39" width="18.42578125" style="68" customWidth="1"/>
    <col min="40" max="40" width="19.42578125" style="68" customWidth="1"/>
    <col min="41" max="41" width="15.7109375" style="68" customWidth="1"/>
    <col min="42" max="42" width="21.28515625" style="68" customWidth="1"/>
    <col min="43" max="43" width="20.5703125" style="68" customWidth="1"/>
    <col min="44" max="44" width="18.140625" style="68" customWidth="1"/>
    <col min="45" max="45" width="18.5703125" style="68" customWidth="1"/>
    <col min="46" max="16384" width="15.28515625" style="68"/>
  </cols>
  <sheetData>
    <row r="1" spans="1:45" s="6" customFormat="1" ht="22.5" customHeight="1">
      <c r="B1" s="6" t="s">
        <v>95</v>
      </c>
    </row>
    <row r="2" spans="1:45" s="6" customFormat="1" ht="19.5" thickBot="1"/>
    <row r="3" spans="1:45" s="8" customFormat="1" ht="34.5" customHeight="1" thickBot="1">
      <c r="A3" s="166" t="s">
        <v>7</v>
      </c>
      <c r="B3" s="189" t="s">
        <v>42</v>
      </c>
      <c r="C3" s="192" t="s">
        <v>9</v>
      </c>
      <c r="D3" s="193"/>
      <c r="E3" s="193"/>
      <c r="F3" s="194"/>
      <c r="G3" s="178" t="s">
        <v>43</v>
      </c>
      <c r="H3" s="179"/>
      <c r="I3" s="179"/>
      <c r="J3" s="180"/>
      <c r="K3" s="185" t="s">
        <v>98</v>
      </c>
      <c r="L3" s="7" t="s">
        <v>36</v>
      </c>
      <c r="M3" s="183" t="s">
        <v>57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202" t="s">
        <v>59</v>
      </c>
      <c r="AQ3" s="208" t="s">
        <v>60</v>
      </c>
      <c r="AR3" s="205" t="s">
        <v>99</v>
      </c>
      <c r="AS3" s="199" t="s">
        <v>96</v>
      </c>
    </row>
    <row r="4" spans="1:45" s="9" customFormat="1" ht="29.25" customHeight="1">
      <c r="A4" s="188"/>
      <c r="B4" s="190"/>
      <c r="C4" s="197" t="s">
        <v>10</v>
      </c>
      <c r="D4" s="198"/>
      <c r="E4" s="197" t="s">
        <v>11</v>
      </c>
      <c r="F4" s="198"/>
      <c r="G4" s="169" t="s">
        <v>100</v>
      </c>
      <c r="H4" s="171" t="s">
        <v>12</v>
      </c>
      <c r="I4" s="171" t="s">
        <v>48</v>
      </c>
      <c r="J4" s="181" t="s">
        <v>50</v>
      </c>
      <c r="K4" s="186"/>
      <c r="L4" s="176" t="s">
        <v>101</v>
      </c>
      <c r="M4" s="173" t="s">
        <v>13</v>
      </c>
      <c r="N4" s="174"/>
      <c r="O4" s="174"/>
      <c r="P4" s="174"/>
      <c r="Q4" s="175"/>
      <c r="R4" s="173" t="s">
        <v>14</v>
      </c>
      <c r="S4" s="174"/>
      <c r="T4" s="174"/>
      <c r="U4" s="174"/>
      <c r="V4" s="174"/>
      <c r="W4" s="175"/>
      <c r="X4" s="173" t="s">
        <v>15</v>
      </c>
      <c r="Y4" s="174"/>
      <c r="Z4" s="174"/>
      <c r="AA4" s="174"/>
      <c r="AB4" s="174"/>
      <c r="AC4" s="175"/>
      <c r="AD4" s="173" t="s">
        <v>16</v>
      </c>
      <c r="AE4" s="174"/>
      <c r="AF4" s="174"/>
      <c r="AG4" s="174"/>
      <c r="AH4" s="174"/>
      <c r="AI4" s="175"/>
      <c r="AJ4" s="173" t="s">
        <v>17</v>
      </c>
      <c r="AK4" s="174"/>
      <c r="AL4" s="174"/>
      <c r="AM4" s="174"/>
      <c r="AN4" s="174"/>
      <c r="AO4" s="175"/>
      <c r="AP4" s="203"/>
      <c r="AQ4" s="209"/>
      <c r="AR4" s="206"/>
      <c r="AS4" s="200"/>
    </row>
    <row r="5" spans="1:45" s="9" customFormat="1" ht="409.6" customHeight="1" thickBot="1">
      <c r="A5" s="188"/>
      <c r="B5" s="191"/>
      <c r="C5" s="195" t="s">
        <v>102</v>
      </c>
      <c r="D5" s="196"/>
      <c r="E5" s="195" t="s">
        <v>55</v>
      </c>
      <c r="F5" s="196"/>
      <c r="G5" s="170"/>
      <c r="H5" s="172"/>
      <c r="I5" s="172"/>
      <c r="J5" s="182"/>
      <c r="K5" s="187"/>
      <c r="L5" s="177"/>
      <c r="M5" s="10" t="s">
        <v>41</v>
      </c>
      <c r="N5" s="11" t="s">
        <v>61</v>
      </c>
      <c r="O5" s="11" t="s">
        <v>49</v>
      </c>
      <c r="P5" s="11" t="s">
        <v>58</v>
      </c>
      <c r="Q5" s="12" t="s">
        <v>18</v>
      </c>
      <c r="R5" s="10" t="s">
        <v>19</v>
      </c>
      <c r="S5" s="11" t="s">
        <v>62</v>
      </c>
      <c r="T5" s="11" t="s">
        <v>41</v>
      </c>
      <c r="U5" s="11" t="s">
        <v>49</v>
      </c>
      <c r="V5" s="11" t="s">
        <v>58</v>
      </c>
      <c r="W5" s="12" t="s">
        <v>20</v>
      </c>
      <c r="X5" s="10" t="s">
        <v>21</v>
      </c>
      <c r="Y5" s="11" t="s">
        <v>63</v>
      </c>
      <c r="Z5" s="11" t="s">
        <v>41</v>
      </c>
      <c r="AA5" s="11" t="s">
        <v>49</v>
      </c>
      <c r="AB5" s="11" t="s">
        <v>58</v>
      </c>
      <c r="AC5" s="12" t="s">
        <v>22</v>
      </c>
      <c r="AD5" s="10" t="s">
        <v>23</v>
      </c>
      <c r="AE5" s="11" t="s">
        <v>64</v>
      </c>
      <c r="AF5" s="11" t="s">
        <v>41</v>
      </c>
      <c r="AG5" s="11" t="s">
        <v>49</v>
      </c>
      <c r="AH5" s="11" t="s">
        <v>58</v>
      </c>
      <c r="AI5" s="12" t="s">
        <v>24</v>
      </c>
      <c r="AJ5" s="10" t="s">
        <v>25</v>
      </c>
      <c r="AK5" s="11" t="s">
        <v>65</v>
      </c>
      <c r="AL5" s="11" t="s">
        <v>41</v>
      </c>
      <c r="AM5" s="11" t="s">
        <v>49</v>
      </c>
      <c r="AN5" s="11" t="s">
        <v>58</v>
      </c>
      <c r="AO5" s="12" t="s">
        <v>26</v>
      </c>
      <c r="AP5" s="204"/>
      <c r="AQ5" s="210"/>
      <c r="AR5" s="207"/>
      <c r="AS5" s="201"/>
    </row>
    <row r="6" spans="1:45" s="9" customFormat="1" ht="23.25" thickBot="1">
      <c r="A6" s="167"/>
      <c r="B6" s="13" t="s">
        <v>27</v>
      </c>
      <c r="C6" s="14" t="s">
        <v>28</v>
      </c>
      <c r="D6" s="15" t="s">
        <v>29</v>
      </c>
      <c r="E6" s="14" t="s">
        <v>30</v>
      </c>
      <c r="F6" s="15" t="s">
        <v>31</v>
      </c>
      <c r="G6" s="16" t="s">
        <v>1</v>
      </c>
      <c r="H6" s="17" t="s">
        <v>2</v>
      </c>
      <c r="I6" s="18" t="s">
        <v>53</v>
      </c>
      <c r="J6" s="19" t="s">
        <v>66</v>
      </c>
      <c r="K6" s="20" t="s">
        <v>32</v>
      </c>
      <c r="L6" s="20" t="s">
        <v>33</v>
      </c>
      <c r="M6" s="14" t="s">
        <v>32</v>
      </c>
      <c r="N6" s="17" t="s">
        <v>39</v>
      </c>
      <c r="O6" s="17" t="s">
        <v>103</v>
      </c>
      <c r="P6" s="17" t="s">
        <v>38</v>
      </c>
      <c r="Q6" s="15" t="s">
        <v>37</v>
      </c>
      <c r="R6" s="14" t="s">
        <v>31</v>
      </c>
      <c r="S6" s="17" t="s">
        <v>39</v>
      </c>
      <c r="T6" s="17" t="s">
        <v>32</v>
      </c>
      <c r="U6" s="17" t="s">
        <v>103</v>
      </c>
      <c r="V6" s="17" t="s">
        <v>38</v>
      </c>
      <c r="W6" s="15" t="s">
        <v>37</v>
      </c>
      <c r="X6" s="14" t="s">
        <v>31</v>
      </c>
      <c r="Y6" s="17" t="s">
        <v>39</v>
      </c>
      <c r="Z6" s="17" t="s">
        <v>32</v>
      </c>
      <c r="AA6" s="17" t="s">
        <v>103</v>
      </c>
      <c r="AB6" s="17" t="s">
        <v>38</v>
      </c>
      <c r="AC6" s="15" t="s">
        <v>37</v>
      </c>
      <c r="AD6" s="14" t="s">
        <v>31</v>
      </c>
      <c r="AE6" s="17" t="s">
        <v>39</v>
      </c>
      <c r="AF6" s="17" t="s">
        <v>32</v>
      </c>
      <c r="AG6" s="17" t="s">
        <v>103</v>
      </c>
      <c r="AH6" s="17" t="s">
        <v>38</v>
      </c>
      <c r="AI6" s="15" t="s">
        <v>37</v>
      </c>
      <c r="AJ6" s="14" t="s">
        <v>31</v>
      </c>
      <c r="AK6" s="17" t="s">
        <v>39</v>
      </c>
      <c r="AL6" s="17" t="s">
        <v>32</v>
      </c>
      <c r="AM6" s="17" t="s">
        <v>103</v>
      </c>
      <c r="AN6" s="17" t="s">
        <v>38</v>
      </c>
      <c r="AO6" s="15" t="s">
        <v>37</v>
      </c>
      <c r="AP6" s="21" t="s">
        <v>37</v>
      </c>
      <c r="AQ6" s="22" t="s">
        <v>44</v>
      </c>
      <c r="AR6" s="19" t="s">
        <v>56</v>
      </c>
      <c r="AS6" s="23"/>
    </row>
    <row r="7" spans="1:45" s="32" customFormat="1" ht="19.5" thickBot="1">
      <c r="A7" s="21">
        <v>1</v>
      </c>
      <c r="B7" s="24">
        <f t="shared" ref="B7:Y7" si="0">A7+1</f>
        <v>2</v>
      </c>
      <c r="C7" s="25">
        <f t="shared" si="0"/>
        <v>3</v>
      </c>
      <c r="D7" s="26">
        <f t="shared" si="0"/>
        <v>4</v>
      </c>
      <c r="E7" s="25">
        <f t="shared" si="0"/>
        <v>5</v>
      </c>
      <c r="F7" s="26">
        <f t="shared" si="0"/>
        <v>6</v>
      </c>
      <c r="G7" s="27">
        <f>F7+1</f>
        <v>7</v>
      </c>
      <c r="H7" s="28">
        <f t="shared" si="0"/>
        <v>8</v>
      </c>
      <c r="I7" s="28">
        <f t="shared" ref="I7:L7" si="1">H7+1</f>
        <v>9</v>
      </c>
      <c r="J7" s="29">
        <f>I7+1</f>
        <v>10</v>
      </c>
      <c r="K7" s="21">
        <f>J7+1</f>
        <v>11</v>
      </c>
      <c r="L7" s="21">
        <f t="shared" si="1"/>
        <v>12</v>
      </c>
      <c r="M7" s="25">
        <f>L7+1</f>
        <v>13</v>
      </c>
      <c r="N7" s="28">
        <f t="shared" si="0"/>
        <v>14</v>
      </c>
      <c r="O7" s="28">
        <f t="shared" si="0"/>
        <v>15</v>
      </c>
      <c r="P7" s="28">
        <f t="shared" si="0"/>
        <v>16</v>
      </c>
      <c r="Q7" s="26">
        <f t="shared" si="0"/>
        <v>17</v>
      </c>
      <c r="R7" s="25">
        <f t="shared" si="0"/>
        <v>18</v>
      </c>
      <c r="S7" s="28">
        <f t="shared" si="0"/>
        <v>19</v>
      </c>
      <c r="T7" s="28">
        <f>S7+1</f>
        <v>20</v>
      </c>
      <c r="U7" s="28">
        <f t="shared" si="0"/>
        <v>21</v>
      </c>
      <c r="V7" s="28">
        <f t="shared" si="0"/>
        <v>22</v>
      </c>
      <c r="W7" s="26">
        <f t="shared" si="0"/>
        <v>23</v>
      </c>
      <c r="X7" s="25">
        <f t="shared" si="0"/>
        <v>24</v>
      </c>
      <c r="Y7" s="28">
        <f t="shared" si="0"/>
        <v>25</v>
      </c>
      <c r="Z7" s="28">
        <f>Y7+1</f>
        <v>26</v>
      </c>
      <c r="AA7" s="28">
        <f t="shared" ref="AA7:AO7" si="2">Z7+1</f>
        <v>27</v>
      </c>
      <c r="AB7" s="28">
        <f t="shared" si="2"/>
        <v>28</v>
      </c>
      <c r="AC7" s="26">
        <f t="shared" si="2"/>
        <v>29</v>
      </c>
      <c r="AD7" s="25">
        <f t="shared" si="2"/>
        <v>30</v>
      </c>
      <c r="AE7" s="28">
        <f t="shared" si="2"/>
        <v>31</v>
      </c>
      <c r="AF7" s="28">
        <f>AE7+1</f>
        <v>32</v>
      </c>
      <c r="AG7" s="28">
        <f t="shared" si="2"/>
        <v>33</v>
      </c>
      <c r="AH7" s="28">
        <f t="shared" si="2"/>
        <v>34</v>
      </c>
      <c r="AI7" s="26">
        <f t="shared" si="2"/>
        <v>35</v>
      </c>
      <c r="AJ7" s="25">
        <f t="shared" si="2"/>
        <v>36</v>
      </c>
      <c r="AK7" s="28">
        <f t="shared" si="2"/>
        <v>37</v>
      </c>
      <c r="AL7" s="28">
        <f>AK7+1</f>
        <v>38</v>
      </c>
      <c r="AM7" s="28">
        <f t="shared" si="2"/>
        <v>39</v>
      </c>
      <c r="AN7" s="28">
        <f t="shared" si="2"/>
        <v>40</v>
      </c>
      <c r="AO7" s="26">
        <f t="shared" si="2"/>
        <v>41</v>
      </c>
      <c r="AP7" s="21">
        <f>AO7+1</f>
        <v>42</v>
      </c>
      <c r="AQ7" s="30">
        <f>AP7+1</f>
        <v>43</v>
      </c>
      <c r="AR7" s="29">
        <f>AQ7+1</f>
        <v>44</v>
      </c>
      <c r="AS7" s="31"/>
    </row>
    <row r="8" spans="1:45" s="43" customFormat="1" ht="20.25" thickBot="1">
      <c r="A8" s="33" t="s">
        <v>3</v>
      </c>
      <c r="B8" s="34" t="s">
        <v>4</v>
      </c>
      <c r="C8" s="35" t="s">
        <v>34</v>
      </c>
      <c r="D8" s="36" t="s">
        <v>4</v>
      </c>
      <c r="E8" s="35" t="s">
        <v>34</v>
      </c>
      <c r="F8" s="36" t="s">
        <v>4</v>
      </c>
      <c r="G8" s="37" t="s">
        <v>5</v>
      </c>
      <c r="H8" s="38" t="s">
        <v>4</v>
      </c>
      <c r="I8" s="38" t="s">
        <v>35</v>
      </c>
      <c r="J8" s="39" t="s">
        <v>51</v>
      </c>
      <c r="K8" s="33" t="s">
        <v>35</v>
      </c>
      <c r="L8" s="33" t="s">
        <v>4</v>
      </c>
      <c r="M8" s="35" t="s">
        <v>35</v>
      </c>
      <c r="N8" s="38" t="s">
        <v>35</v>
      </c>
      <c r="O8" s="38" t="s">
        <v>35</v>
      </c>
      <c r="P8" s="38" t="s">
        <v>4</v>
      </c>
      <c r="Q8" s="36" t="s">
        <v>4</v>
      </c>
      <c r="R8" s="35" t="s">
        <v>4</v>
      </c>
      <c r="S8" s="38" t="s">
        <v>35</v>
      </c>
      <c r="T8" s="38" t="s">
        <v>35</v>
      </c>
      <c r="U8" s="38" t="s">
        <v>35</v>
      </c>
      <c r="V8" s="38" t="s">
        <v>4</v>
      </c>
      <c r="W8" s="36" t="s">
        <v>4</v>
      </c>
      <c r="X8" s="35" t="s">
        <v>4</v>
      </c>
      <c r="Y8" s="38" t="s">
        <v>35</v>
      </c>
      <c r="Z8" s="38" t="s">
        <v>35</v>
      </c>
      <c r="AA8" s="38" t="s">
        <v>35</v>
      </c>
      <c r="AB8" s="38" t="s">
        <v>4</v>
      </c>
      <c r="AC8" s="36" t="s">
        <v>4</v>
      </c>
      <c r="AD8" s="35" t="s">
        <v>4</v>
      </c>
      <c r="AE8" s="38" t="s">
        <v>35</v>
      </c>
      <c r="AF8" s="38" t="s">
        <v>35</v>
      </c>
      <c r="AG8" s="38" t="s">
        <v>35</v>
      </c>
      <c r="AH8" s="38" t="s">
        <v>4</v>
      </c>
      <c r="AI8" s="36" t="s">
        <v>4</v>
      </c>
      <c r="AJ8" s="35" t="s">
        <v>4</v>
      </c>
      <c r="AK8" s="38" t="s">
        <v>35</v>
      </c>
      <c r="AL8" s="38" t="s">
        <v>35</v>
      </c>
      <c r="AM8" s="38" t="s">
        <v>35</v>
      </c>
      <c r="AN8" s="38" t="s">
        <v>4</v>
      </c>
      <c r="AO8" s="36" t="s">
        <v>4</v>
      </c>
      <c r="AP8" s="40" t="s">
        <v>4</v>
      </c>
      <c r="AQ8" s="41" t="s">
        <v>4</v>
      </c>
      <c r="AR8" s="39" t="s">
        <v>35</v>
      </c>
      <c r="AS8" s="42"/>
    </row>
    <row r="9" spans="1:45">
      <c r="A9" s="44" t="s">
        <v>67</v>
      </c>
      <c r="B9" s="45" t="s">
        <v>8</v>
      </c>
      <c r="C9" s="45" t="s">
        <v>8</v>
      </c>
      <c r="D9" s="45" t="s">
        <v>8</v>
      </c>
      <c r="E9" s="45" t="s">
        <v>8</v>
      </c>
      <c r="F9" s="45" t="s">
        <v>8</v>
      </c>
      <c r="G9" s="46">
        <f>'Исходные данные'!C11</f>
        <v>1750</v>
      </c>
      <c r="H9" s="47">
        <f>'Исходные данные'!D11</f>
        <v>2678906</v>
      </c>
      <c r="I9" s="48">
        <f>'Расчет КРП'!H7</f>
        <v>2.1077897638379506</v>
      </c>
      <c r="J9" s="49" t="s">
        <v>8</v>
      </c>
      <c r="K9" s="50">
        <f t="shared" ref="K9:K17" si="3">((H9/G9)/($H$18/$G$18))/I9</f>
        <v>0.28277937231799793</v>
      </c>
      <c r="L9" s="51">
        <f t="shared" ref="L9:L17" si="4">$D$18*G9/$G$18</f>
        <v>1651331.736650686</v>
      </c>
      <c r="M9" s="52">
        <f t="shared" ref="M9:M17" si="5">(((H9+L9)/G9)/$J$18)/I9</f>
        <v>0.45709028579494348</v>
      </c>
      <c r="N9" s="53" t="s">
        <v>8</v>
      </c>
      <c r="O9" s="54">
        <f t="shared" ref="O9:O17" si="6">$N$18-M9</f>
        <v>8.5982227272496714E-2</v>
      </c>
      <c r="P9" s="55">
        <f t="shared" ref="P9:P17" si="7">IF(O9&gt;0,G9*I9*(($H$18+$L$18)/$G$18)*O9,0)</f>
        <v>1113826.2076271379</v>
      </c>
      <c r="Q9" s="56">
        <f t="shared" ref="Q9:Q17" si="8">IF(($F$18-P$18)&gt;0,P9,$F$18*P9/P$18)</f>
        <v>1113826.2076271379</v>
      </c>
      <c r="R9" s="57" t="s">
        <v>8</v>
      </c>
      <c r="S9" s="58" t="s">
        <v>8</v>
      </c>
      <c r="T9" s="59">
        <f t="shared" ref="T9:T17" si="9">(((H9+L9+Q9)/G9)/$J$18)/I9</f>
        <v>0.57466330846320368</v>
      </c>
      <c r="U9" s="60">
        <f t="shared" ref="U9:U17" si="10">S$18-T9</f>
        <v>4.8066853589596281E-2</v>
      </c>
      <c r="V9" s="61">
        <f t="shared" ref="V9:V17" si="11">IF(U9&gt;0,$G9*$I9*(($H$18+$L$18+$Q$18)/$G$18)*U9,0)</f>
        <v>686550.62015597115</v>
      </c>
      <c r="W9" s="62">
        <f t="shared" ref="W9:W17" si="12">IF((R$18-V$18)&gt;0,V9,R$18*V9/V$18)</f>
        <v>686550.62015597115</v>
      </c>
      <c r="X9" s="63" t="s">
        <v>8</v>
      </c>
      <c r="Y9" s="58" t="s">
        <v>8</v>
      </c>
      <c r="Z9" s="59">
        <f t="shared" ref="Z9:Z17" si="13">(((H9+L9+Q9+W9)/G9)/$J$18)/I9</f>
        <v>0.64713406833019327</v>
      </c>
      <c r="AA9" s="60">
        <f t="shared" ref="AA9:AA17" si="14">Y$18-Z9</f>
        <v>3.8797493414729933E-2</v>
      </c>
      <c r="AB9" s="61">
        <f t="shared" ref="AB9:AB17" si="15">IF(AA9&gt;0,$G9*$I9*(($H$18+$L$18+$Q$18+$W$18)/$G$18)*AA9,0)</f>
        <v>594442.73259734141</v>
      </c>
      <c r="AC9" s="62">
        <f t="shared" ref="AC9:AC17" si="16">IF((X$18-AB$18)&gt;0,AB9,X$18*AB9/AB$18)</f>
        <v>594442.73259734141</v>
      </c>
      <c r="AD9" s="63" t="s">
        <v>8</v>
      </c>
      <c r="AE9" s="58" t="s">
        <v>8</v>
      </c>
      <c r="AF9" s="59">
        <f t="shared" ref="AF9:AF17" si="17">(((H9+L9+Q9+W9+AC9)/G9)/$J$18)/I9</f>
        <v>0.70988212399279271</v>
      </c>
      <c r="AG9" s="60">
        <f t="shared" ref="AG9:AG17" si="18">AE$18-AF9</f>
        <v>3.2488318236934544E-2</v>
      </c>
      <c r="AH9" s="61">
        <f t="shared" ref="AH9:AH17" si="19">IF(AG9&gt;0,$G9*$I9*(($H$18+$L$18+$Q$18+$W$18+$AC$18)/$G$18)*AG9,0)</f>
        <v>528189.23533655133</v>
      </c>
      <c r="AI9" s="62">
        <f t="shared" ref="AI9:AI17" si="20">IF((AD$18-AH$18)&gt;0,AH9,AD$18*AH9/AH$18)</f>
        <v>528189.23533655133</v>
      </c>
      <c r="AJ9" s="63" t="s">
        <v>8</v>
      </c>
      <c r="AK9" s="58" t="s">
        <v>8</v>
      </c>
      <c r="AL9" s="59">
        <f t="shared" ref="AL9:AL17" si="21">(((H9+L9+Q9+W9+AC9+AI9)/G9)/$J$18)/I9</f>
        <v>0.7656366075146458</v>
      </c>
      <c r="AM9" s="60">
        <f t="shared" ref="AM9:AM17" si="22">AK$18-AL9</f>
        <v>2.5859194615179604E-2</v>
      </c>
      <c r="AN9" s="61">
        <f t="shared" ref="AN9:AN17" si="23">IF(AM9&gt;0,$G9*$I9*(($H$18+$L$18+$Q$18+$W$18+$AC$18+$AI$18)/$G$18)*AM9,0)</f>
        <v>441353.27935689379</v>
      </c>
      <c r="AO9" s="62">
        <f t="shared" ref="AO9:AO17" si="24">IF((AJ$18-AN$18)&gt;0,AN9,AJ$18*AN9/AN$18)</f>
        <v>89822.933587123058</v>
      </c>
      <c r="AP9" s="64">
        <f t="shared" ref="AP9:AP17" si="25">Q9+W9+AC9+AI9+AO9</f>
        <v>3012831.7293041251</v>
      </c>
      <c r="AQ9" s="65">
        <f t="shared" ref="AQ9:AQ18" si="26">L9+AP9</f>
        <v>4664163.4659548113</v>
      </c>
      <c r="AR9" s="66">
        <f t="shared" ref="AR9:AR17" si="27">K9+AQ9/($H$18/$G$18)/G9/I9</f>
        <v>0.77511811704858546</v>
      </c>
      <c r="AS9" s="67">
        <v>4664163.47</v>
      </c>
    </row>
    <row r="10" spans="1:45">
      <c r="A10" s="69" t="s">
        <v>68</v>
      </c>
      <c r="B10" s="70" t="s">
        <v>8</v>
      </c>
      <c r="C10" s="70" t="s">
        <v>8</v>
      </c>
      <c r="D10" s="70" t="s">
        <v>8</v>
      </c>
      <c r="E10" s="70" t="s">
        <v>8</v>
      </c>
      <c r="F10" s="70" t="s">
        <v>8</v>
      </c>
      <c r="G10" s="71">
        <f>'Исходные данные'!C12</f>
        <v>1318</v>
      </c>
      <c r="H10" s="72">
        <f>'Исходные данные'!D12</f>
        <v>2789813</v>
      </c>
      <c r="I10" s="73">
        <f>'Расчет КРП'!H8</f>
        <v>2.727161786088482</v>
      </c>
      <c r="J10" s="74" t="s">
        <v>8</v>
      </c>
      <c r="K10" s="75">
        <f t="shared" si="3"/>
        <v>0.30220689699075143</v>
      </c>
      <c r="L10" s="76">
        <f t="shared" si="4"/>
        <v>1243688.7022317739</v>
      </c>
      <c r="M10" s="77">
        <f t="shared" si="5"/>
        <v>0.43692965565734271</v>
      </c>
      <c r="N10" s="78" t="s">
        <v>8</v>
      </c>
      <c r="O10" s="79">
        <f t="shared" si="6"/>
        <v>0.10614285741009749</v>
      </c>
      <c r="P10" s="80">
        <f t="shared" si="7"/>
        <v>1339863.2939132177</v>
      </c>
      <c r="Q10" s="81">
        <f t="shared" si="8"/>
        <v>1339863.2939132177</v>
      </c>
      <c r="R10" s="82" t="s">
        <v>8</v>
      </c>
      <c r="S10" s="78" t="s">
        <v>8</v>
      </c>
      <c r="T10" s="83">
        <f t="shared" si="9"/>
        <v>0.58207054088704113</v>
      </c>
      <c r="U10" s="79">
        <f t="shared" si="10"/>
        <v>4.065962116575883E-2</v>
      </c>
      <c r="V10" s="61">
        <f t="shared" si="11"/>
        <v>565914.95439366507</v>
      </c>
      <c r="W10" s="81">
        <f t="shared" si="12"/>
        <v>565914.95439366507</v>
      </c>
      <c r="X10" s="84" t="s">
        <v>8</v>
      </c>
      <c r="Y10" s="78" t="s">
        <v>8</v>
      </c>
      <c r="Z10" s="83">
        <f t="shared" si="13"/>
        <v>0.64337336022581837</v>
      </c>
      <c r="AA10" s="79">
        <f t="shared" si="14"/>
        <v>4.2558201519104832E-2</v>
      </c>
      <c r="AB10" s="61">
        <f t="shared" si="15"/>
        <v>635404.94998173811</v>
      </c>
      <c r="AC10" s="81">
        <f t="shared" si="16"/>
        <v>635404.94998173811</v>
      </c>
      <c r="AD10" s="84" t="s">
        <v>8</v>
      </c>
      <c r="AE10" s="78" t="s">
        <v>8</v>
      </c>
      <c r="AF10" s="83">
        <f t="shared" si="17"/>
        <v>0.7122036933938638</v>
      </c>
      <c r="AG10" s="79">
        <f t="shared" si="18"/>
        <v>3.0166748835863455E-2</v>
      </c>
      <c r="AH10" s="61">
        <f t="shared" si="19"/>
        <v>477916.24828042433</v>
      </c>
      <c r="AI10" s="81">
        <f t="shared" si="20"/>
        <v>477916.24828042433</v>
      </c>
      <c r="AJ10" s="84" t="s">
        <v>8</v>
      </c>
      <c r="AK10" s="78" t="s">
        <v>8</v>
      </c>
      <c r="AL10" s="83">
        <f t="shared" si="21"/>
        <v>0.76397404015699422</v>
      </c>
      <c r="AM10" s="79">
        <f t="shared" si="22"/>
        <v>2.7521761972831182E-2</v>
      </c>
      <c r="AN10" s="61">
        <f t="shared" si="23"/>
        <v>457729.15001134598</v>
      </c>
      <c r="AO10" s="81">
        <f t="shared" si="24"/>
        <v>93155.70307366566</v>
      </c>
      <c r="AP10" s="85">
        <f t="shared" si="25"/>
        <v>3112255.1496427106</v>
      </c>
      <c r="AQ10" s="86">
        <f t="shared" si="26"/>
        <v>4355943.8518744847</v>
      </c>
      <c r="AR10" s="87">
        <f t="shared" si="27"/>
        <v>0.77406514517474423</v>
      </c>
      <c r="AS10" s="67">
        <v>4355943.8499999996</v>
      </c>
    </row>
    <row r="11" spans="1:45">
      <c r="A11" s="69" t="s">
        <v>69</v>
      </c>
      <c r="B11" s="70" t="s">
        <v>8</v>
      </c>
      <c r="C11" s="70" t="s">
        <v>8</v>
      </c>
      <c r="D11" s="70" t="s">
        <v>8</v>
      </c>
      <c r="E11" s="70" t="s">
        <v>8</v>
      </c>
      <c r="F11" s="70" t="s">
        <v>8</v>
      </c>
      <c r="G11" s="71">
        <f>'Исходные данные'!C13</f>
        <v>1937</v>
      </c>
      <c r="H11" s="72">
        <f>'Исходные данные'!D13</f>
        <v>3572379</v>
      </c>
      <c r="I11" s="73">
        <f>'Расчет КРП'!H9</f>
        <v>1.9290695945267824</v>
      </c>
      <c r="J11" s="74" t="s">
        <v>8</v>
      </c>
      <c r="K11" s="75">
        <f t="shared" si="3"/>
        <v>0.37225076775919735</v>
      </c>
      <c r="L11" s="76">
        <f t="shared" si="4"/>
        <v>1827788.3279385024</v>
      </c>
      <c r="M11" s="77">
        <f t="shared" si="5"/>
        <v>0.56271085286674261</v>
      </c>
      <c r="N11" s="78" t="s">
        <v>8</v>
      </c>
      <c r="O11" s="79">
        <f t="shared" si="6"/>
        <v>-1.9638339799302407E-2</v>
      </c>
      <c r="P11" s="80">
        <f t="shared" si="7"/>
        <v>0</v>
      </c>
      <c r="Q11" s="81">
        <f t="shared" si="8"/>
        <v>0</v>
      </c>
      <c r="R11" s="82" t="s">
        <v>8</v>
      </c>
      <c r="S11" s="78" t="s">
        <v>8</v>
      </c>
      <c r="T11" s="83">
        <f t="shared" si="9"/>
        <v>0.56271085286674261</v>
      </c>
      <c r="U11" s="79">
        <f t="shared" si="10"/>
        <v>6.0019309186057357E-2</v>
      </c>
      <c r="V11" s="61">
        <f t="shared" si="11"/>
        <v>868420.44314653077</v>
      </c>
      <c r="W11" s="81">
        <f t="shared" si="12"/>
        <v>868420.44314653077</v>
      </c>
      <c r="X11" s="84" t="s">
        <v>8</v>
      </c>
      <c r="Y11" s="78" t="s">
        <v>8</v>
      </c>
      <c r="Z11" s="83">
        <f t="shared" si="13"/>
        <v>0.65320242072644563</v>
      </c>
      <c r="AA11" s="79">
        <f t="shared" si="14"/>
        <v>3.272914101847757E-2</v>
      </c>
      <c r="AB11" s="61">
        <f t="shared" si="15"/>
        <v>507987.63122042507</v>
      </c>
      <c r="AC11" s="81">
        <f t="shared" si="16"/>
        <v>507987.63122042507</v>
      </c>
      <c r="AD11" s="84" t="s">
        <v>8</v>
      </c>
      <c r="AE11" s="78" t="s">
        <v>8</v>
      </c>
      <c r="AF11" s="83">
        <f t="shared" si="17"/>
        <v>0.70613599404942717</v>
      </c>
      <c r="AG11" s="79">
        <f t="shared" si="18"/>
        <v>3.6234448180300083E-2</v>
      </c>
      <c r="AH11" s="61">
        <f t="shared" si="19"/>
        <v>596755.10630636907</v>
      </c>
      <c r="AI11" s="81">
        <f t="shared" si="20"/>
        <v>596755.10630636907</v>
      </c>
      <c r="AJ11" s="84" t="s">
        <v>8</v>
      </c>
      <c r="AK11" s="78" t="s">
        <v>8</v>
      </c>
      <c r="AL11" s="83">
        <f t="shared" si="21"/>
        <v>0.76831935882868696</v>
      </c>
      <c r="AM11" s="79">
        <f t="shared" si="22"/>
        <v>2.3176443301138439E-2</v>
      </c>
      <c r="AN11" s="61">
        <f t="shared" si="23"/>
        <v>400710.13693908619</v>
      </c>
      <c r="AO11" s="81">
        <f t="shared" si="24"/>
        <v>81551.359650964208</v>
      </c>
      <c r="AP11" s="85">
        <f t="shared" si="25"/>
        <v>2054714.5403242891</v>
      </c>
      <c r="AQ11" s="86">
        <f t="shared" si="26"/>
        <v>3882502.8682627915</v>
      </c>
      <c r="AR11" s="87">
        <f t="shared" si="27"/>
        <v>0.7768172131274268</v>
      </c>
      <c r="AS11" s="67">
        <v>3882502.87</v>
      </c>
    </row>
    <row r="12" spans="1:45">
      <c r="A12" s="69" t="s">
        <v>70</v>
      </c>
      <c r="B12" s="70" t="s">
        <v>8</v>
      </c>
      <c r="C12" s="70" t="s">
        <v>8</v>
      </c>
      <c r="D12" s="70" t="s">
        <v>8</v>
      </c>
      <c r="E12" s="70" t="s">
        <v>8</v>
      </c>
      <c r="F12" s="70" t="s">
        <v>8</v>
      </c>
      <c r="G12" s="71">
        <f>'Исходные данные'!C14</f>
        <v>1591</v>
      </c>
      <c r="H12" s="72">
        <f>'Исходные данные'!D14</f>
        <v>3132930</v>
      </c>
      <c r="I12" s="73">
        <f>'Расчет КРП'!H10</f>
        <v>2.1185199798253698</v>
      </c>
      <c r="J12" s="74" t="s">
        <v>8</v>
      </c>
      <c r="K12" s="75">
        <f t="shared" si="3"/>
        <v>0.36191246267554489</v>
      </c>
      <c r="L12" s="76">
        <f t="shared" si="4"/>
        <v>1501296.453149281</v>
      </c>
      <c r="M12" s="77">
        <f t="shared" si="5"/>
        <v>0.53534049859250354</v>
      </c>
      <c r="N12" s="78" t="s">
        <v>8</v>
      </c>
      <c r="O12" s="79">
        <f t="shared" si="6"/>
        <v>7.7320144749366548E-3</v>
      </c>
      <c r="P12" s="80">
        <f t="shared" si="7"/>
        <v>91524.803253000413</v>
      </c>
      <c r="Q12" s="81">
        <f t="shared" si="8"/>
        <v>91524.803253000413</v>
      </c>
      <c r="R12" s="82" t="s">
        <v>8</v>
      </c>
      <c r="S12" s="78" t="s">
        <v>8</v>
      </c>
      <c r="T12" s="83">
        <f t="shared" si="9"/>
        <v>0.54591333837545053</v>
      </c>
      <c r="U12" s="79">
        <f t="shared" si="10"/>
        <v>7.6816823677349433E-2</v>
      </c>
      <c r="V12" s="61">
        <f t="shared" si="11"/>
        <v>1002583.6518283751</v>
      </c>
      <c r="W12" s="81">
        <f t="shared" si="12"/>
        <v>1002583.6518283751</v>
      </c>
      <c r="X12" s="84" t="s">
        <v>8</v>
      </c>
      <c r="Y12" s="78" t="s">
        <v>8</v>
      </c>
      <c r="Z12" s="83">
        <f t="shared" si="13"/>
        <v>0.66173064628576073</v>
      </c>
      <c r="AA12" s="79">
        <f t="shared" si="14"/>
        <v>2.4200915459162475E-2</v>
      </c>
      <c r="AB12" s="61">
        <f t="shared" si="15"/>
        <v>338825.08227080415</v>
      </c>
      <c r="AC12" s="81">
        <f t="shared" si="16"/>
        <v>338825.08227080415</v>
      </c>
      <c r="AD12" s="84" t="s">
        <v>8</v>
      </c>
      <c r="AE12" s="78" t="s">
        <v>8</v>
      </c>
      <c r="AF12" s="83">
        <f t="shared" si="17"/>
        <v>0.70087132926969931</v>
      </c>
      <c r="AG12" s="79">
        <f t="shared" si="18"/>
        <v>4.1499112960027951E-2</v>
      </c>
      <c r="AH12" s="61">
        <f t="shared" si="19"/>
        <v>616507.73973835562</v>
      </c>
      <c r="AI12" s="81">
        <f t="shared" si="20"/>
        <v>616507.73973835562</v>
      </c>
      <c r="AJ12" s="84" t="s">
        <v>8</v>
      </c>
      <c r="AK12" s="78" t="s">
        <v>8</v>
      </c>
      <c r="AL12" s="83">
        <f t="shared" si="21"/>
        <v>0.77208959279529421</v>
      </c>
      <c r="AM12" s="79">
        <f t="shared" si="22"/>
        <v>1.9406209334531188E-2</v>
      </c>
      <c r="AN12" s="61">
        <f t="shared" si="23"/>
        <v>302656.13314735342</v>
      </c>
      <c r="AO12" s="81">
        <f t="shared" si="24"/>
        <v>61595.694467349989</v>
      </c>
      <c r="AP12" s="85">
        <f t="shared" si="25"/>
        <v>2111036.9715578854</v>
      </c>
      <c r="AQ12" s="86">
        <f t="shared" si="26"/>
        <v>3612333.4247071664</v>
      </c>
      <c r="AR12" s="87">
        <f t="shared" si="27"/>
        <v>0.77920505642674764</v>
      </c>
      <c r="AS12" s="67">
        <v>3612333.42</v>
      </c>
    </row>
    <row r="13" spans="1:45" ht="15.75" customHeight="1">
      <c r="A13" s="69" t="s">
        <v>71</v>
      </c>
      <c r="B13" s="70" t="s">
        <v>8</v>
      </c>
      <c r="C13" s="70" t="s">
        <v>8</v>
      </c>
      <c r="D13" s="70" t="s">
        <v>8</v>
      </c>
      <c r="E13" s="70" t="s">
        <v>8</v>
      </c>
      <c r="F13" s="70" t="s">
        <v>8</v>
      </c>
      <c r="G13" s="71">
        <f>'Исходные данные'!C15</f>
        <v>1063</v>
      </c>
      <c r="H13" s="72">
        <f>'Исходные данные'!D15</f>
        <v>2651170</v>
      </c>
      <c r="I13" s="73">
        <f>'Расчет КРП'!H11</f>
        <v>3.32125</v>
      </c>
      <c r="J13" s="74" t="s">
        <v>8</v>
      </c>
      <c r="K13" s="75">
        <f t="shared" si="3"/>
        <v>0.29238718615337828</v>
      </c>
      <c r="L13" s="76">
        <f t="shared" si="4"/>
        <v>1003066.0777483883</v>
      </c>
      <c r="M13" s="77">
        <f t="shared" si="5"/>
        <v>0.40301142677120239</v>
      </c>
      <c r="N13" s="78" t="s">
        <v>8</v>
      </c>
      <c r="O13" s="79">
        <f t="shared" si="6"/>
        <v>0.14006108629623781</v>
      </c>
      <c r="P13" s="80">
        <f t="shared" si="7"/>
        <v>1736583.7148797766</v>
      </c>
      <c r="Q13" s="81">
        <f t="shared" si="8"/>
        <v>1736583.7148797766</v>
      </c>
      <c r="R13" s="82" t="s">
        <v>8</v>
      </c>
      <c r="S13" s="78" t="s">
        <v>8</v>
      </c>
      <c r="T13" s="83">
        <f t="shared" si="9"/>
        <v>0.59453246311118757</v>
      </c>
      <c r="U13" s="79">
        <f t="shared" si="10"/>
        <v>2.8197698941612392E-2</v>
      </c>
      <c r="V13" s="61">
        <f t="shared" si="11"/>
        <v>385487.26105094847</v>
      </c>
      <c r="W13" s="81">
        <f t="shared" si="12"/>
        <v>385487.26105094847</v>
      </c>
      <c r="X13" s="84" t="s">
        <v>8</v>
      </c>
      <c r="Y13" s="78" t="s">
        <v>8</v>
      </c>
      <c r="Z13" s="83">
        <f t="shared" si="13"/>
        <v>0.63704634775708335</v>
      </c>
      <c r="AA13" s="79">
        <f t="shared" si="14"/>
        <v>4.8885213987839848E-2</v>
      </c>
      <c r="AB13" s="61">
        <f t="shared" si="15"/>
        <v>716891.39350553846</v>
      </c>
      <c r="AC13" s="81">
        <f t="shared" si="16"/>
        <v>716891.39350553846</v>
      </c>
      <c r="AD13" s="84" t="s">
        <v>8</v>
      </c>
      <c r="AE13" s="78" t="s">
        <v>8</v>
      </c>
      <c r="AF13" s="83">
        <f t="shared" si="17"/>
        <v>0.71610949999728635</v>
      </c>
      <c r="AG13" s="79">
        <f t="shared" si="18"/>
        <v>2.6260942232440909E-2</v>
      </c>
      <c r="AH13" s="61">
        <f t="shared" si="19"/>
        <v>408641.16320311686</v>
      </c>
      <c r="AI13" s="81">
        <f t="shared" si="20"/>
        <v>408641.16320311686</v>
      </c>
      <c r="AJ13" s="84" t="s">
        <v>8</v>
      </c>
      <c r="AK13" s="78" t="s">
        <v>8</v>
      </c>
      <c r="AL13" s="83">
        <f t="shared" si="21"/>
        <v>0.76117693809269438</v>
      </c>
      <c r="AM13" s="79">
        <f t="shared" si="22"/>
        <v>3.0318864037131021E-2</v>
      </c>
      <c r="AN13" s="61">
        <f t="shared" si="23"/>
        <v>495283.40967139386</v>
      </c>
      <c r="AO13" s="81">
        <f t="shared" si="24"/>
        <v>100798.63659003894</v>
      </c>
      <c r="AP13" s="85">
        <f t="shared" si="25"/>
        <v>3348402.1692294194</v>
      </c>
      <c r="AQ13" s="86">
        <f t="shared" si="26"/>
        <v>4351468.246977808</v>
      </c>
      <c r="AR13" s="87">
        <f t="shared" si="27"/>
        <v>0.77229362609107177</v>
      </c>
      <c r="AS13" s="67">
        <v>4351468.25</v>
      </c>
    </row>
    <row r="14" spans="1:45">
      <c r="A14" s="69" t="s">
        <v>72</v>
      </c>
      <c r="B14" s="70" t="s">
        <v>8</v>
      </c>
      <c r="C14" s="70" t="s">
        <v>8</v>
      </c>
      <c r="D14" s="70" t="s">
        <v>8</v>
      </c>
      <c r="E14" s="70" t="s">
        <v>8</v>
      </c>
      <c r="F14" s="70" t="s">
        <v>8</v>
      </c>
      <c r="G14" s="71">
        <f>'Исходные данные'!C16</f>
        <v>1030</v>
      </c>
      <c r="H14" s="72">
        <f>'Исходные данные'!D16</f>
        <v>2600802</v>
      </c>
      <c r="I14" s="73">
        <f>'Расчет КРП'!H12</f>
        <v>3.4418004420162669</v>
      </c>
      <c r="J14" s="74" t="s">
        <v>8</v>
      </c>
      <c r="K14" s="75">
        <f t="shared" si="3"/>
        <v>0.28565377694113142</v>
      </c>
      <c r="L14" s="76">
        <f t="shared" si="4"/>
        <v>971926.67928583233</v>
      </c>
      <c r="M14" s="77">
        <f t="shared" si="5"/>
        <v>0.39240335912687624</v>
      </c>
      <c r="N14" s="78" t="s">
        <v>8</v>
      </c>
      <c r="O14" s="79">
        <f t="shared" si="6"/>
        <v>0.15066915394056396</v>
      </c>
      <c r="P14" s="80">
        <f t="shared" si="7"/>
        <v>1875817.8405079991</v>
      </c>
      <c r="Q14" s="81">
        <f t="shared" si="8"/>
        <v>1875817.8405079991</v>
      </c>
      <c r="R14" s="82" t="s">
        <v>8</v>
      </c>
      <c r="S14" s="78" t="s">
        <v>8</v>
      </c>
      <c r="T14" s="83">
        <f t="shared" si="9"/>
        <v>0.59842998129752456</v>
      </c>
      <c r="U14" s="79">
        <f t="shared" si="10"/>
        <v>2.4300180755275402E-2</v>
      </c>
      <c r="V14" s="61">
        <f t="shared" si="11"/>
        <v>333575.34529626847</v>
      </c>
      <c r="W14" s="81">
        <f t="shared" si="12"/>
        <v>333575.34529626847</v>
      </c>
      <c r="X14" s="84" t="s">
        <v>8</v>
      </c>
      <c r="Y14" s="78" t="s">
        <v>8</v>
      </c>
      <c r="Z14" s="83">
        <f t="shared" si="13"/>
        <v>0.63506754820124156</v>
      </c>
      <c r="AA14" s="79">
        <f t="shared" si="14"/>
        <v>5.0864013543681641E-2</v>
      </c>
      <c r="AB14" s="61">
        <f t="shared" si="15"/>
        <v>748987.46768793021</v>
      </c>
      <c r="AC14" s="81">
        <f t="shared" si="16"/>
        <v>748987.46768793021</v>
      </c>
      <c r="AD14" s="84" t="s">
        <v>8</v>
      </c>
      <c r="AE14" s="78" t="s">
        <v>8</v>
      </c>
      <c r="AF14" s="83">
        <f t="shared" si="17"/>
        <v>0.71733105731367341</v>
      </c>
      <c r="AG14" s="79">
        <f t="shared" si="18"/>
        <v>2.5039384916053842E-2</v>
      </c>
      <c r="AH14" s="61">
        <f t="shared" si="19"/>
        <v>391240.26340193819</v>
      </c>
      <c r="AI14" s="81">
        <f t="shared" si="20"/>
        <v>391240.26340193819</v>
      </c>
      <c r="AJ14" s="84" t="s">
        <v>8</v>
      </c>
      <c r="AK14" s="78" t="s">
        <v>8</v>
      </c>
      <c r="AL14" s="83">
        <f t="shared" si="21"/>
        <v>0.76030213274817671</v>
      </c>
      <c r="AM14" s="79">
        <f t="shared" si="22"/>
        <v>3.1193669381648692E-2</v>
      </c>
      <c r="AN14" s="61">
        <f t="shared" si="23"/>
        <v>511676.41464609071</v>
      </c>
      <c r="AO14" s="81">
        <f t="shared" si="24"/>
        <v>104134.89320351904</v>
      </c>
      <c r="AP14" s="85">
        <f t="shared" si="25"/>
        <v>3453755.8100976544</v>
      </c>
      <c r="AQ14" s="86">
        <f t="shared" si="26"/>
        <v>4425682.489383487</v>
      </c>
      <c r="AR14" s="87">
        <f t="shared" si="27"/>
        <v>0.77173957610409016</v>
      </c>
      <c r="AS14" s="67">
        <v>4425682.49</v>
      </c>
    </row>
    <row r="15" spans="1:45">
      <c r="A15" s="69" t="s">
        <v>73</v>
      </c>
      <c r="B15" s="70" t="s">
        <v>8</v>
      </c>
      <c r="C15" s="70" t="s">
        <v>8</v>
      </c>
      <c r="D15" s="70" t="s">
        <v>8</v>
      </c>
      <c r="E15" s="70" t="s">
        <v>8</v>
      </c>
      <c r="F15" s="70" t="s">
        <v>8</v>
      </c>
      <c r="G15" s="71">
        <f>'Исходные данные'!C17</f>
        <v>1752</v>
      </c>
      <c r="H15" s="72">
        <f>'Исходные данные'!D17</f>
        <v>3590159</v>
      </c>
      <c r="I15" s="73">
        <f>'Расчет КРП'!H13</f>
        <v>1.9724005377271936</v>
      </c>
      <c r="J15" s="74" t="s">
        <v>8</v>
      </c>
      <c r="K15" s="75">
        <f t="shared" si="3"/>
        <v>0.40452005705267263</v>
      </c>
      <c r="L15" s="76">
        <f t="shared" si="4"/>
        <v>1653218.9729211442</v>
      </c>
      <c r="M15" s="77">
        <f t="shared" si="5"/>
        <v>0.59079599448235809</v>
      </c>
      <c r="N15" s="78" t="s">
        <v>8</v>
      </c>
      <c r="O15" s="79">
        <f t="shared" si="6"/>
        <v>-4.772348141491789E-2</v>
      </c>
      <c r="P15" s="80">
        <f t="shared" si="7"/>
        <v>0</v>
      </c>
      <c r="Q15" s="81">
        <f t="shared" si="8"/>
        <v>0</v>
      </c>
      <c r="R15" s="82" t="s">
        <v>8</v>
      </c>
      <c r="S15" s="78" t="s">
        <v>8</v>
      </c>
      <c r="T15" s="83">
        <f t="shared" si="9"/>
        <v>0.59079599448235809</v>
      </c>
      <c r="U15" s="79">
        <f t="shared" si="10"/>
        <v>3.1934167570441874E-2</v>
      </c>
      <c r="V15" s="61">
        <f t="shared" si="11"/>
        <v>427313.23415737401</v>
      </c>
      <c r="W15" s="81">
        <f t="shared" si="12"/>
        <v>427313.23415737401</v>
      </c>
      <c r="X15" s="84" t="s">
        <v>8</v>
      </c>
      <c r="Y15" s="78" t="s">
        <v>8</v>
      </c>
      <c r="Z15" s="83">
        <f t="shared" si="13"/>
        <v>0.6389433812306059</v>
      </c>
      <c r="AA15" s="79">
        <f t="shared" si="14"/>
        <v>4.6988180514317301E-2</v>
      </c>
      <c r="AB15" s="61">
        <f t="shared" si="15"/>
        <v>674464.12860674202</v>
      </c>
      <c r="AC15" s="81">
        <f t="shared" si="16"/>
        <v>674464.12860674202</v>
      </c>
      <c r="AD15" s="84" t="s">
        <v>8</v>
      </c>
      <c r="AE15" s="78" t="s">
        <v>8</v>
      </c>
      <c r="AF15" s="83">
        <f t="shared" si="17"/>
        <v>0.71493841871612684</v>
      </c>
      <c r="AG15" s="79">
        <f t="shared" si="18"/>
        <v>2.7432023513600412E-2</v>
      </c>
      <c r="AH15" s="61">
        <f t="shared" si="19"/>
        <v>417815.00617702771</v>
      </c>
      <c r="AI15" s="81">
        <f t="shared" si="20"/>
        <v>417815.00617702771</v>
      </c>
      <c r="AJ15" s="84" t="s">
        <v>8</v>
      </c>
      <c r="AK15" s="78" t="s">
        <v>8</v>
      </c>
      <c r="AL15" s="83">
        <f t="shared" si="21"/>
        <v>0.76201559555876652</v>
      </c>
      <c r="AM15" s="79">
        <f t="shared" si="22"/>
        <v>2.9480206571058876E-2</v>
      </c>
      <c r="AN15" s="61">
        <f t="shared" si="23"/>
        <v>471374.14736506727</v>
      </c>
      <c r="AO15" s="81">
        <f t="shared" si="24"/>
        <v>95932.693182101415</v>
      </c>
      <c r="AP15" s="85">
        <f t="shared" si="25"/>
        <v>1615525.0621232451</v>
      </c>
      <c r="AQ15" s="86">
        <f t="shared" si="26"/>
        <v>3268744.0350443893</v>
      </c>
      <c r="AR15" s="87">
        <f t="shared" si="27"/>
        <v>0.77282478214889805</v>
      </c>
      <c r="AS15" s="67">
        <v>3268744.04</v>
      </c>
    </row>
    <row r="16" spans="1:45">
      <c r="A16" s="88" t="s">
        <v>74</v>
      </c>
      <c r="B16" s="70" t="s">
        <v>8</v>
      </c>
      <c r="C16" s="70" t="s">
        <v>8</v>
      </c>
      <c r="D16" s="70" t="s">
        <v>8</v>
      </c>
      <c r="E16" s="70" t="s">
        <v>8</v>
      </c>
      <c r="F16" s="70" t="s">
        <v>8</v>
      </c>
      <c r="G16" s="71">
        <f>'Исходные данные'!C18</f>
        <v>1396</v>
      </c>
      <c r="H16" s="72">
        <f>'Исходные данные'!D18</f>
        <v>2895773</v>
      </c>
      <c r="I16" s="73">
        <f>'Расчет КРП'!H14</f>
        <v>2.3069298761993835</v>
      </c>
      <c r="J16" s="74" t="s">
        <v>8</v>
      </c>
      <c r="K16" s="75">
        <f t="shared" si="3"/>
        <v>0.35010659661440169</v>
      </c>
      <c r="L16" s="76">
        <f t="shared" si="4"/>
        <v>1317290.9167796329</v>
      </c>
      <c r="M16" s="77">
        <f t="shared" si="5"/>
        <v>0.50937054431499229</v>
      </c>
      <c r="N16" s="78" t="s">
        <v>8</v>
      </c>
      <c r="O16" s="79">
        <f t="shared" si="6"/>
        <v>3.3701968752447908E-2</v>
      </c>
      <c r="P16" s="80">
        <f t="shared" si="7"/>
        <v>381169.80070509826</v>
      </c>
      <c r="Q16" s="81">
        <f t="shared" si="8"/>
        <v>381169.80070509826</v>
      </c>
      <c r="R16" s="82" t="s">
        <v>8</v>
      </c>
      <c r="S16" s="78" t="s">
        <v>8</v>
      </c>
      <c r="T16" s="83">
        <f t="shared" si="9"/>
        <v>0.55545497899169238</v>
      </c>
      <c r="U16" s="79">
        <f t="shared" si="10"/>
        <v>6.727518306110758E-2</v>
      </c>
      <c r="V16" s="61">
        <f t="shared" si="11"/>
        <v>838950.29168083298</v>
      </c>
      <c r="W16" s="81">
        <f t="shared" si="12"/>
        <v>838950.29168083298</v>
      </c>
      <c r="X16" s="84" t="s">
        <v>8</v>
      </c>
      <c r="Y16" s="78" t="s">
        <v>8</v>
      </c>
      <c r="Z16" s="83">
        <f t="shared" si="13"/>
        <v>0.65688628294715989</v>
      </c>
      <c r="AA16" s="79">
        <f t="shared" si="14"/>
        <v>2.9045278797763308E-2</v>
      </c>
      <c r="AB16" s="61">
        <f t="shared" si="15"/>
        <v>388540.57210272789</v>
      </c>
      <c r="AC16" s="81">
        <f t="shared" si="16"/>
        <v>388540.57210272789</v>
      </c>
      <c r="AD16" s="84" t="s">
        <v>8</v>
      </c>
      <c r="AE16" s="78" t="s">
        <v>8</v>
      </c>
      <c r="AF16" s="83">
        <f t="shared" si="17"/>
        <v>0.70386186333467604</v>
      </c>
      <c r="AG16" s="79">
        <f t="shared" si="18"/>
        <v>3.8508578895051215E-2</v>
      </c>
      <c r="AH16" s="61">
        <f t="shared" si="19"/>
        <v>546605.85475738789</v>
      </c>
      <c r="AI16" s="81">
        <f t="shared" si="20"/>
        <v>546605.85475738789</v>
      </c>
      <c r="AJ16" s="84" t="s">
        <v>8</v>
      </c>
      <c r="AK16" s="78" t="s">
        <v>8</v>
      </c>
      <c r="AL16" s="83">
        <f t="shared" si="21"/>
        <v>0.76994795347316936</v>
      </c>
      <c r="AM16" s="79">
        <f t="shared" si="22"/>
        <v>2.1547848656656043E-2</v>
      </c>
      <c r="AN16" s="61">
        <f t="shared" si="23"/>
        <v>321092.1970154639</v>
      </c>
      <c r="AO16" s="81">
        <f t="shared" si="24"/>
        <v>65347.748474621025</v>
      </c>
      <c r="AP16" s="85">
        <f t="shared" si="25"/>
        <v>2220614.2677206681</v>
      </c>
      <c r="AQ16" s="86">
        <f t="shared" si="26"/>
        <v>3537905.1845003013</v>
      </c>
      <c r="AR16" s="87">
        <f t="shared" si="27"/>
        <v>0.77784866869320324</v>
      </c>
      <c r="AS16" s="67">
        <v>3537905.18</v>
      </c>
    </row>
    <row r="17" spans="1:45" ht="19.5" thickBot="1">
      <c r="A17" s="88" t="s">
        <v>75</v>
      </c>
      <c r="B17" s="70" t="s">
        <v>8</v>
      </c>
      <c r="C17" s="70" t="s">
        <v>8</v>
      </c>
      <c r="D17" s="70" t="s">
        <v>8</v>
      </c>
      <c r="E17" s="70" t="s">
        <v>8</v>
      </c>
      <c r="F17" s="70" t="s">
        <v>8</v>
      </c>
      <c r="G17" s="71">
        <f>'Исходные данные'!C19</f>
        <v>6310</v>
      </c>
      <c r="H17" s="72">
        <f>'Исходные данные'!D19</f>
        <v>22694864</v>
      </c>
      <c r="I17" s="73">
        <f>'Расчет КРП'!H15</f>
        <v>1.1519036574181074</v>
      </c>
      <c r="J17" s="74" t="s">
        <v>8</v>
      </c>
      <c r="K17" s="75">
        <f t="shared" si="3"/>
        <v>1.215731470710425</v>
      </c>
      <c r="L17" s="76">
        <f t="shared" si="4"/>
        <v>5954230.4332947591</v>
      </c>
      <c r="M17" s="77">
        <f t="shared" si="5"/>
        <v>1.5346910961841975</v>
      </c>
      <c r="N17" s="78" t="s">
        <v>8</v>
      </c>
      <c r="O17" s="79">
        <f t="shared" si="6"/>
        <v>-0.99161858311675732</v>
      </c>
      <c r="P17" s="80">
        <f t="shared" si="7"/>
        <v>0</v>
      </c>
      <c r="Q17" s="81">
        <f t="shared" si="8"/>
        <v>0</v>
      </c>
      <c r="R17" s="82" t="s">
        <v>8</v>
      </c>
      <c r="S17" s="78" t="s">
        <v>8</v>
      </c>
      <c r="T17" s="83">
        <f t="shared" si="9"/>
        <v>1.5346910961841975</v>
      </c>
      <c r="U17" s="79">
        <f t="shared" si="10"/>
        <v>-0.91196093413139756</v>
      </c>
      <c r="V17" s="61">
        <f t="shared" si="11"/>
        <v>0</v>
      </c>
      <c r="W17" s="81">
        <f t="shared" si="12"/>
        <v>0</v>
      </c>
      <c r="X17" s="84" t="s">
        <v>8</v>
      </c>
      <c r="Y17" s="78" t="s">
        <v>8</v>
      </c>
      <c r="Z17" s="83">
        <f t="shared" si="13"/>
        <v>1.5346910961841975</v>
      </c>
      <c r="AA17" s="79">
        <f t="shared" si="14"/>
        <v>-0.84875953443927432</v>
      </c>
      <c r="AB17" s="61">
        <f t="shared" si="15"/>
        <v>0</v>
      </c>
      <c r="AC17" s="81">
        <f t="shared" si="16"/>
        <v>0</v>
      </c>
      <c r="AD17" s="84" t="s">
        <v>8</v>
      </c>
      <c r="AE17" s="78" t="s">
        <v>8</v>
      </c>
      <c r="AF17" s="83">
        <f t="shared" si="17"/>
        <v>1.5346910961841975</v>
      </c>
      <c r="AG17" s="79">
        <f t="shared" si="18"/>
        <v>-0.79232065395447027</v>
      </c>
      <c r="AH17" s="61">
        <f t="shared" si="19"/>
        <v>0</v>
      </c>
      <c r="AI17" s="81">
        <f t="shared" si="20"/>
        <v>0</v>
      </c>
      <c r="AJ17" s="84" t="s">
        <v>8</v>
      </c>
      <c r="AK17" s="78" t="s">
        <v>8</v>
      </c>
      <c r="AL17" s="83">
        <f t="shared" si="21"/>
        <v>1.5346910961841975</v>
      </c>
      <c r="AM17" s="79">
        <f t="shared" si="22"/>
        <v>-0.74319529405437212</v>
      </c>
      <c r="AN17" s="61">
        <f t="shared" si="23"/>
        <v>0</v>
      </c>
      <c r="AO17" s="81">
        <f t="shared" si="24"/>
        <v>0</v>
      </c>
      <c r="AP17" s="85">
        <f t="shared" si="25"/>
        <v>0</v>
      </c>
      <c r="AQ17" s="86">
        <f t="shared" si="26"/>
        <v>5954230.4332947591</v>
      </c>
      <c r="AR17" s="87">
        <f t="shared" si="27"/>
        <v>1.5346910961841977</v>
      </c>
      <c r="AS17" s="67">
        <v>5954230.4299999997</v>
      </c>
    </row>
    <row r="18" spans="1:45" s="6" customFormat="1" ht="19.5" thickBot="1">
      <c r="A18" s="89" t="s">
        <v>6</v>
      </c>
      <c r="B18" s="90">
        <v>38052974</v>
      </c>
      <c r="C18" s="91">
        <v>45</v>
      </c>
      <c r="D18" s="92">
        <f>B18*C18/100</f>
        <v>17123838.300000001</v>
      </c>
      <c r="E18" s="93">
        <f>100-C18</f>
        <v>55</v>
      </c>
      <c r="F18" s="92">
        <f>B18-D18</f>
        <v>20929135.699999999</v>
      </c>
      <c r="G18" s="94">
        <f>SUM(G9:G17)</f>
        <v>18147</v>
      </c>
      <c r="H18" s="94">
        <f>SUM(H9:H17)</f>
        <v>46606796</v>
      </c>
      <c r="I18" s="95" t="s">
        <v>8</v>
      </c>
      <c r="J18" s="96">
        <f>H18/G18</f>
        <v>2568.292059293547</v>
      </c>
      <c r="K18" s="97" t="s">
        <v>8</v>
      </c>
      <c r="L18" s="98">
        <f>SUM(L9:L17)</f>
        <v>17123838.300000001</v>
      </c>
      <c r="M18" s="99" t="s">
        <v>8</v>
      </c>
      <c r="N18" s="100">
        <f>(SUMIF(M9:M17,"&lt;1")+1)/(COUNTIFS(M9:M17,"&lt;1")+1)</f>
        <v>0.5430725130674402</v>
      </c>
      <c r="O18" s="101" t="s">
        <v>8</v>
      </c>
      <c r="P18" s="102">
        <f>SUM(P9:P17)</f>
        <v>6538785.6608862299</v>
      </c>
      <c r="Q18" s="102">
        <f>SUM(Q9:Q17)</f>
        <v>6538785.6608862299</v>
      </c>
      <c r="R18" s="103">
        <f>F18-Q18</f>
        <v>14390350.039113769</v>
      </c>
      <c r="S18" s="100">
        <f>(SUMIF(T9:T17,"&lt;1")+1)/(COUNTIFS(T9:T17,"&lt;1")+1)</f>
        <v>0.62273016205279996</v>
      </c>
      <c r="T18" s="101" t="s">
        <v>8</v>
      </c>
      <c r="U18" s="101" t="s">
        <v>8</v>
      </c>
      <c r="V18" s="102">
        <f>SUM(V9:V17)</f>
        <v>5108795.8017099667</v>
      </c>
      <c r="W18" s="102">
        <f>SUM(W9:W17)</f>
        <v>5108795.8017099667</v>
      </c>
      <c r="X18" s="103">
        <f>R18-W18</f>
        <v>9281554.2374038026</v>
      </c>
      <c r="Y18" s="100">
        <f>(SUMIF(Z9:Z17,"&lt;1")+1)/(COUNTIFS(Z9:Z17,"&lt;1")+1)</f>
        <v>0.6859315617449232</v>
      </c>
      <c r="Z18" s="101" t="s">
        <v>8</v>
      </c>
      <c r="AA18" s="101" t="s">
        <v>8</v>
      </c>
      <c r="AB18" s="102">
        <f>SUM(AB9:AB17)</f>
        <v>4605543.9579732483</v>
      </c>
      <c r="AC18" s="102">
        <f>SUM(AC9:AC17)</f>
        <v>4605543.9579732483</v>
      </c>
      <c r="AD18" s="103">
        <f>X18-AC18</f>
        <v>4676010.2794305542</v>
      </c>
      <c r="AE18" s="100">
        <f>(SUMIF(AF9:AF17,"&lt;1")+1)/(COUNTIFS(AF9:AF17,"&lt;1")+1)</f>
        <v>0.74237044222972726</v>
      </c>
      <c r="AF18" s="101" t="s">
        <v>8</v>
      </c>
      <c r="AG18" s="101" t="s">
        <v>8</v>
      </c>
      <c r="AH18" s="102">
        <f>SUM(AH9:AH17)</f>
        <v>3983670.6172011709</v>
      </c>
      <c r="AI18" s="102">
        <f>SUM(AI9:AI17)</f>
        <v>3983670.6172011709</v>
      </c>
      <c r="AJ18" s="103">
        <f>AD18-AI18</f>
        <v>692339.66222938336</v>
      </c>
      <c r="AK18" s="100">
        <f>(SUMIF(AL9:AL17,"&lt;1")+1)/(COUNTIFS(AL9:AL17,"&lt;1")+1)</f>
        <v>0.7914958021298254</v>
      </c>
      <c r="AL18" s="101" t="s">
        <v>8</v>
      </c>
      <c r="AM18" s="101" t="s">
        <v>8</v>
      </c>
      <c r="AN18" s="102">
        <f>SUM(AN9:AN17)</f>
        <v>3401874.8681526952</v>
      </c>
      <c r="AO18" s="102">
        <f>SUM(AO9:AO17)</f>
        <v>692339.66222938336</v>
      </c>
      <c r="AP18" s="104">
        <f>SUM(AP9:AP17)</f>
        <v>20929135.699999999</v>
      </c>
      <c r="AQ18" s="105">
        <f t="shared" si="26"/>
        <v>38052974</v>
      </c>
      <c r="AR18" s="106" t="s">
        <v>8</v>
      </c>
      <c r="AS18" s="107">
        <f>SUM(AS9:AS17)</f>
        <v>38052974</v>
      </c>
    </row>
    <row r="20" spans="1:45">
      <c r="P20" s="108"/>
    </row>
    <row r="22" spans="1:45">
      <c r="AP22" s="109"/>
      <c r="AQ22" s="109"/>
    </row>
    <row r="23" spans="1:45">
      <c r="M23" s="110"/>
    </row>
  </sheetData>
  <protectedRanges>
    <protectedRange sqref="A9:A17" name="Диапазон3_1"/>
    <protectedRange sqref="A9:A17" name="Диапазон2_1"/>
  </protectedRanges>
  <mergeCells count="24">
    <mergeCell ref="AS3:AS5"/>
    <mergeCell ref="AP3:AP5"/>
    <mergeCell ref="AR3:AR5"/>
    <mergeCell ref="I4:I5"/>
    <mergeCell ref="AQ3:AQ5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G3:J3"/>
    <mergeCell ref="J4:J5"/>
    <mergeCell ref="M3:AO3"/>
    <mergeCell ref="K3:K5"/>
    <mergeCell ref="R4:W4"/>
    <mergeCell ref="X4:AC4"/>
    <mergeCell ref="AD4:AI4"/>
    <mergeCell ref="AJ4:AO4"/>
  </mergeCells>
  <printOptions horizontalCentered="1"/>
  <pageMargins left="1.0826771653543308" right="0.49212598425196852" top="0.78740157480314965" bottom="0.78740157480314965" header="0.74803149606299213" footer="0.2362204724409449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2024-11-13T09:17:23Z</cp:lastPrinted>
  <dcterms:created xsi:type="dcterms:W3CDTF">2013-11-15T09:40:24Z</dcterms:created>
  <dcterms:modified xsi:type="dcterms:W3CDTF">2024-11-13T09:17:25Z</dcterms:modified>
</cp:coreProperties>
</file>