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данные'!$A$5:$HX$8</definedName>
    <definedName name="Z_287B6B75_F102_4A35_99B4_72102AA4A344__wvu_FilterData" localSheetId="0">'Исходные данные'!$B$8:$G$18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данные'!$A$5:$HX$8</definedName>
    <definedName name="Z_287B6B75_F102_4A35_99B4_72102AA4A344__wvu_PrintTitles" localSheetId="2">'Расчет дотации'!$A:$A</definedName>
    <definedName name="_xlnm.Print_Titles" localSheetId="0">'Исходные данные'!$5:$8</definedName>
    <definedName name="_xlnm.Print_Titles" localSheetId="2">'Расчет дотации'!$A:$A</definedName>
    <definedName name="_xlnm.Print_Area" localSheetId="0">'Исходные данные'!$A$1:$H$20</definedName>
  </definedNames>
  <calcPr calcId="124519"/>
</workbook>
</file>

<file path=xl/calcChain.xml><?xml version="1.0" encoding="utf-8"?>
<calcChain xmlns="http://schemas.openxmlformats.org/spreadsheetml/2006/main">
  <c r="F15" i="2"/>
  <c r="AG18" i="4"/>
  <c r="AD7"/>
  <c r="D19" i="1"/>
  <c r="G15" i="2"/>
  <c r="G14"/>
  <c r="G13"/>
  <c r="G12"/>
  <c r="G11"/>
  <c r="G10"/>
  <c r="G9"/>
  <c r="G8"/>
  <c r="G7"/>
  <c r="F14"/>
  <c r="F13"/>
  <c r="F12"/>
  <c r="F11"/>
  <c r="F10"/>
  <c r="F9"/>
  <c r="F8"/>
  <c r="F7"/>
  <c r="E15"/>
  <c r="E14"/>
  <c r="E13"/>
  <c r="E12"/>
  <c r="E11"/>
  <c r="E10"/>
  <c r="E9"/>
  <c r="E8"/>
  <c r="E7"/>
  <c r="C15"/>
  <c r="C14"/>
  <c r="H14" s="1"/>
  <c r="C13"/>
  <c r="C12"/>
  <c r="H12" s="1"/>
  <c r="C11"/>
  <c r="H11" s="1"/>
  <c r="C10"/>
  <c r="H10" s="1"/>
  <c r="C9"/>
  <c r="H9" s="1"/>
  <c r="C8"/>
  <c r="H8" s="1"/>
  <c r="C7"/>
  <c r="H7" s="1"/>
  <c r="H13" l="1"/>
  <c r="H15"/>
  <c r="F19" i="1"/>
  <c r="G19"/>
  <c r="H19"/>
  <c r="C19" l="1"/>
  <c r="I10" i="4"/>
  <c r="I11"/>
  <c r="I12"/>
  <c r="I13"/>
  <c r="I14"/>
  <c r="I15"/>
  <c r="I16"/>
  <c r="I17"/>
  <c r="H10"/>
  <c r="H11"/>
  <c r="H12"/>
  <c r="H13"/>
  <c r="H14"/>
  <c r="H15"/>
  <c r="H16"/>
  <c r="H17"/>
  <c r="G10"/>
  <c r="G11"/>
  <c r="G12"/>
  <c r="G13"/>
  <c r="G14"/>
  <c r="G15"/>
  <c r="G16"/>
  <c r="G17"/>
  <c r="I9" l="1"/>
  <c r="D18" l="1"/>
  <c r="E18"/>
  <c r="B7"/>
  <c r="C7" s="1"/>
  <c r="D7" s="1"/>
  <c r="E7" s="1"/>
  <c r="F7" s="1"/>
  <c r="G7" s="1"/>
  <c r="H7" s="1"/>
  <c r="I7" s="1"/>
  <c r="J7" s="1"/>
  <c r="K7" s="1"/>
  <c r="G9"/>
  <c r="G18" s="1"/>
  <c r="H9"/>
  <c r="B6" i="2"/>
  <c r="C6" s="1"/>
  <c r="D6" s="1"/>
  <c r="H18" i="4" l="1"/>
  <c r="L7"/>
  <c r="F18"/>
  <c r="E6" i="2"/>
  <c r="G6" s="1"/>
  <c r="H6" s="1"/>
  <c r="M7" i="4" l="1"/>
  <c r="N7" s="1"/>
  <c r="O7" s="1"/>
  <c r="P7" s="1"/>
  <c r="Q7" s="1"/>
  <c r="R7" s="1"/>
  <c r="S7" s="1"/>
  <c r="J18"/>
  <c r="K9"/>
  <c r="K14"/>
  <c r="K12"/>
  <c r="K17"/>
  <c r="K15"/>
  <c r="K11"/>
  <c r="K10"/>
  <c r="K16"/>
  <c r="K13"/>
  <c r="L11"/>
  <c r="L15"/>
  <c r="L13"/>
  <c r="L10"/>
  <c r="L12"/>
  <c r="L17"/>
  <c r="L14"/>
  <c r="L16"/>
  <c r="L9"/>
  <c r="L18" l="1"/>
  <c r="T7"/>
  <c r="U7" s="1"/>
  <c r="V7" s="1"/>
  <c r="W7" s="1"/>
  <c r="X7" s="1"/>
  <c r="Y7" s="1"/>
  <c r="M17"/>
  <c r="M10"/>
  <c r="M16"/>
  <c r="M14"/>
  <c r="M13"/>
  <c r="M11"/>
  <c r="M9"/>
  <c r="M12"/>
  <c r="M15"/>
  <c r="N18" l="1"/>
  <c r="Z7"/>
  <c r="AA7" s="1"/>
  <c r="AB7" s="1"/>
  <c r="AC7" s="1"/>
  <c r="O17" l="1"/>
  <c r="P17" s="1"/>
  <c r="O13"/>
  <c r="P13" s="1"/>
  <c r="O12"/>
  <c r="P12" s="1"/>
  <c r="O16"/>
  <c r="P16" s="1"/>
  <c r="O11"/>
  <c r="P11" s="1"/>
  <c r="O15"/>
  <c r="P15" s="1"/>
  <c r="O14"/>
  <c r="P14" s="1"/>
  <c r="O10"/>
  <c r="P10" s="1"/>
  <c r="O9"/>
  <c r="P9" s="1"/>
  <c r="P18" l="1"/>
  <c r="Q17" l="1"/>
  <c r="Q11"/>
  <c r="Q15"/>
  <c r="Q14"/>
  <c r="Q13"/>
  <c r="Q12"/>
  <c r="Q16"/>
  <c r="Q9"/>
  <c r="Q10"/>
  <c r="Q18" l="1"/>
  <c r="T9"/>
  <c r="T12"/>
  <c r="T11"/>
  <c r="T16"/>
  <c r="T17"/>
  <c r="T15"/>
  <c r="T10"/>
  <c r="T13"/>
  <c r="T14"/>
  <c r="S18" l="1"/>
  <c r="R18"/>
  <c r="U17" l="1"/>
  <c r="V17" s="1"/>
  <c r="U15"/>
  <c r="V15" s="1"/>
  <c r="U13"/>
  <c r="V13" s="1"/>
  <c r="U11"/>
  <c r="V11" s="1"/>
  <c r="U14"/>
  <c r="V14" s="1"/>
  <c r="U12"/>
  <c r="V12" s="1"/>
  <c r="U16"/>
  <c r="V16" s="1"/>
  <c r="U10"/>
  <c r="V10" s="1"/>
  <c r="U9"/>
  <c r="V9" l="1"/>
  <c r="V18" s="1"/>
  <c r="AE7" l="1"/>
  <c r="AF7" s="1"/>
  <c r="W17"/>
  <c r="W16"/>
  <c r="W14"/>
  <c r="W12"/>
  <c r="W15"/>
  <c r="W13"/>
  <c r="W11"/>
  <c r="W9"/>
  <c r="W10"/>
  <c r="W18" l="1"/>
  <c r="Z9"/>
  <c r="Z13"/>
  <c r="Z12"/>
  <c r="Z11"/>
  <c r="Z16"/>
  <c r="Z17"/>
  <c r="Z10"/>
  <c r="Z15"/>
  <c r="Z14"/>
  <c r="Y18" l="1"/>
  <c r="X18"/>
  <c r="AA9" l="1"/>
  <c r="AB9" s="1"/>
  <c r="AA17"/>
  <c r="AB17" s="1"/>
  <c r="AA15"/>
  <c r="AB15" s="1"/>
  <c r="AA10"/>
  <c r="AB10" s="1"/>
  <c r="AA12"/>
  <c r="AB12" s="1"/>
  <c r="AA13"/>
  <c r="AB13" s="1"/>
  <c r="AA16"/>
  <c r="AB16" s="1"/>
  <c r="AA11"/>
  <c r="AB11" s="1"/>
  <c r="AA14"/>
  <c r="AB14" s="1"/>
  <c r="AB18" l="1"/>
  <c r="AC17" l="1"/>
  <c r="AD17" s="1"/>
  <c r="AC14"/>
  <c r="AD14" s="1"/>
  <c r="AC12"/>
  <c r="AD12" s="1"/>
  <c r="AC15"/>
  <c r="AD15" s="1"/>
  <c r="AC9"/>
  <c r="AD9" s="1"/>
  <c r="AC13"/>
  <c r="AD13" s="1"/>
  <c r="AC10"/>
  <c r="AD10" s="1"/>
  <c r="AC16"/>
  <c r="AD16" s="1"/>
  <c r="AC11"/>
  <c r="AD11" s="1"/>
  <c r="AC18" l="1"/>
  <c r="AE14" l="1"/>
  <c r="AF14" s="1"/>
  <c r="AE13" l="1"/>
  <c r="AF13" s="1"/>
  <c r="AE17"/>
  <c r="AF17" s="1"/>
  <c r="AE10"/>
  <c r="AF10" s="1"/>
  <c r="AE15"/>
  <c r="AF15" s="1"/>
  <c r="AE11"/>
  <c r="AF11" s="1"/>
  <c r="AE12"/>
  <c r="AF12" s="1"/>
  <c r="AE16"/>
  <c r="AF16" s="1"/>
  <c r="AE9" l="1"/>
  <c r="AF9" s="1"/>
  <c r="AD18"/>
  <c r="AE18" s="1"/>
</calcChain>
</file>

<file path=xl/sharedStrings.xml><?xml version="1.0" encoding="utf-8"?>
<sst xmlns="http://schemas.openxmlformats.org/spreadsheetml/2006/main" count="277" uniqueCount="98">
  <si>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</si>
  <si>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</si>
  <si>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</si>
  <si>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</si>
  <si>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</si>
  <si>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</si>
  <si>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</si>
  <si>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</si>
  <si>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</si>
  <si>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</si>
  <si>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</si>
  <si>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</si>
  <si>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</si>
  <si>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</si>
  <si>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</si>
  <si>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</si>
  <si>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</si>
  <si>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</si>
  <si>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</si>
  <si>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</si>
  <si>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</si>
  <si>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</si>
  <si>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</si>
  <si>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</si>
  <si>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</si>
  <si>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</si>
  <si>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</si>
  <si>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</si>
  <si>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</si>
  <si>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</si>
  <si>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</si>
  <si>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</si>
  <si>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</si>
  <si>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</si>
  <si>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</si>
  <si>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</si>
  <si>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</si>
  <si>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</si>
  <si>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</si>
  <si>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</si>
  <si>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</si>
  <si>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</si>
  <si>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</si>
  <si>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</si>
  <si>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</si>
  <si>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</si>
  <si>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указать единицу измерения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</si>
  <si>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</si>
  <si>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</si>
  <si>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</si>
  <si>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</si>
  <si>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</si>
  <si>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</si>
  <si>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Объем дотаций, распределенный 
на 2 этапе</t>
  </si>
  <si>
    <t>Объем дотаций, распределенный на 1 и 2 этапах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</si>
  <si>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</si>
  <si>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</si>
  <si>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</si>
  <si>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НПi/Нi</t>
  </si>
  <si>
    <t>Вольновское с/п</t>
  </si>
  <si>
    <t>Воронцовское с/п</t>
  </si>
  <si>
    <t>Ворошиловское с/п</t>
  </si>
  <si>
    <t>Еремеевское с/п</t>
  </si>
  <si>
    <t>Красногорское с/п</t>
  </si>
  <si>
    <t>Новоильиновское с/п</t>
  </si>
  <si>
    <t>Ольгинское с/п</t>
  </si>
  <si>
    <t>Соловьевское с/п</t>
  </si>
  <si>
    <t>Полтавское г/п</t>
  </si>
  <si>
    <t>удаленность от районного центра</t>
  </si>
  <si>
    <t>площадь территории</t>
  </si>
  <si>
    <t>наружный строительный объем отапливаемых зданий</t>
  </si>
  <si>
    <t>количество населенных пунктов</t>
  </si>
  <si>
    <t>километров</t>
  </si>
  <si>
    <t>кв.километров</t>
  </si>
  <si>
    <t>куб.метров</t>
  </si>
  <si>
    <t>Коэффициент удаленности от районного центра</t>
  </si>
  <si>
    <t>Коэффициент дифференциации муниципальных образований по численности постоянного населения</t>
  </si>
  <si>
    <t>Коэффициент площади территории</t>
  </si>
  <si>
    <t>Коэффициент наружного строительного объема отапливаемых зданий</t>
  </si>
  <si>
    <t>Коэффициент количества населенных пунктов</t>
  </si>
  <si>
    <t>Поправочный коэффициент расходных потребностей КПРi=(Кудi+Кплi+Кнсоi+Кнпi)/4*Кчi</t>
  </si>
  <si>
    <t>Кудi=1+Пудi/Пуд max</t>
  </si>
  <si>
    <t>Кчi</t>
  </si>
  <si>
    <t>Кплi=1+Sплi/Sпл max</t>
  </si>
  <si>
    <t>Кнсоi=1+Vнсоi/Vнсо max</t>
  </si>
  <si>
    <t>Кнпi=1+Nнпi/Nнп max</t>
  </si>
  <si>
    <t>на 01.01.2024г</t>
  </si>
  <si>
    <t>2027 год</t>
  </si>
  <si>
    <t>Расчет размера дотации бюджетам поселений, входящих в состав Полтавского муниципального района Омской области, на выравнивание бюджетной обеспеченности на 2027 год</t>
  </si>
  <si>
    <t>Объем дотации на 2027 год</t>
  </si>
  <si>
    <r>
      <t xml:space="preserve">Уровень расчетной бюджетной обеспеченности </t>
    </r>
    <r>
      <rPr>
        <b/>
        <u/>
        <sz val="14"/>
        <rFont val="Times New Roman"/>
        <family val="1"/>
        <charset val="204"/>
      </rPr>
      <t xml:space="preserve">ДО </t>
    </r>
    <r>
      <rPr>
        <b/>
        <sz val="14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</si>
  <si>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поселения </t>
    </r>
    <r>
      <rPr>
        <b/>
        <u/>
        <sz val="14"/>
        <rFont val="Times New Roman"/>
        <family val="1"/>
        <charset val="204"/>
      </rPr>
      <t xml:space="preserve">ПОСЛЕ </t>
    </r>
    <r>
      <rPr>
        <b/>
        <sz val="14"/>
        <rFont val="Times New Roman"/>
        <family val="1"/>
        <charset val="204"/>
      </rPr>
      <t>выравнивания</t>
    </r>
  </si>
  <si>
    <r>
      <t xml:space="preserve">Численность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sz val="14"/>
        <rFont val="Times New Roman"/>
        <family val="1"/>
        <charset val="204"/>
      </rPr>
      <t xml:space="preserve"> населения на начало текущего года</t>
    </r>
  </si>
  <si>
    <r>
      <t xml:space="preserve">Объем дотации, распределенный на 1 этапе (исходя из численности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b/>
        <sz val="14"/>
        <rFont val="Times New Roman"/>
        <family val="1"/>
        <charset val="204"/>
      </rPr>
      <t xml:space="preserve">  населения)</t>
    </r>
  </si>
  <si>
    <r>
      <t xml:space="preserve">Выравнивание исходя из численности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sz val="14"/>
        <rFont val="Times New Roman"/>
        <family val="1"/>
        <charset val="204"/>
      </rPr>
      <t xml:space="preserve"> населения</t>
    </r>
  </si>
  <si>
    <r>
      <t>Кit</t>
    </r>
    <r>
      <rPr>
        <vertAlign val="superscript"/>
        <sz val="14"/>
        <rFont val="Times New Roman"/>
        <family val="1"/>
        <charset val="204"/>
      </rPr>
      <t>СО</t>
    </r>
  </si>
  <si>
    <r>
      <t xml:space="preserve">Численность 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sz val="14"/>
        <rFont val="Times New Roman"/>
        <family val="1"/>
        <charset val="204"/>
      </rPr>
      <t xml:space="preserve"> населения </t>
    </r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</si>
  <si>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4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</si>
</sst>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3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b/>
      <u/>
      <sz val="14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  <font>
      <i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Arial Cyr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51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2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0" fillId="0" borderId="10" applyNumberFormat="0">
      <alignment horizontal="right" vertical="top"/>
    </xf>
    <xf numFmtId="0" fontId="20" fillId="0" borderId="0"/>
  </cellStyleXfs>
  <cellXfs count="216">
    <xf numFmtId="0" fontId="0" fillId="0" borderId="0" xfId="0"/>
    <xf numFmtId="164" fontId="18" fillId="26" borderId="11" xfId="0" applyNumberFormat="1" applyFont="1" applyFill="1" applyBorder="1" applyAlignment="1">
      <alignment horizontal="center" vertical="center"/>
    </xf>
    <xf numFmtId="2" fontId="18" fillId="26" borderId="11" xfId="0" applyNumberFormat="1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horizontal="center" vertical="center"/>
    </xf>
    <xf numFmtId="3" fontId="18" fillId="26" borderId="11" xfId="0" applyNumberFormat="1" applyFont="1" applyFill="1" applyBorder="1" applyAlignment="1">
      <alignment horizontal="center" vertical="center"/>
    </xf>
    <xf numFmtId="0" fontId="18" fillId="26" borderId="0" xfId="0" applyFont="1" applyFill="1" applyAlignment="1">
      <alignment vertical="top" wrapText="1"/>
    </xf>
    <xf numFmtId="0" fontId="19" fillId="26" borderId="0" xfId="0" applyFont="1" applyFill="1" applyAlignment="1">
      <alignment vertical="center"/>
    </xf>
    <xf numFmtId="172" fontId="19" fillId="26" borderId="0" xfId="0" applyNumberFormat="1" applyFont="1" applyFill="1" applyAlignment="1">
      <alignment vertical="center"/>
    </xf>
    <xf numFmtId="4" fontId="19" fillId="26" borderId="0" xfId="0" applyNumberFormat="1" applyFont="1" applyFill="1" applyAlignment="1">
      <alignment vertical="center"/>
    </xf>
    <xf numFmtId="4" fontId="19" fillId="26" borderId="0" xfId="0" applyNumberFormat="1" applyFont="1" applyFill="1" applyBorder="1" applyAlignment="1">
      <alignment vertical="center"/>
    </xf>
    <xf numFmtId="0" fontId="19" fillId="25" borderId="19" xfId="0" applyFont="1" applyFill="1" applyBorder="1" applyAlignment="1">
      <alignment horizontal="center" vertical="center" wrapText="1"/>
    </xf>
    <xf numFmtId="0" fontId="19" fillId="25" borderId="0" xfId="0" applyFont="1" applyFill="1" applyBorder="1" applyAlignment="1">
      <alignment vertical="center" wrapText="1"/>
    </xf>
    <xf numFmtId="0" fontId="18" fillId="26" borderId="0" xfId="0" applyFont="1" applyFill="1" applyAlignment="1">
      <alignment vertical="center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39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30" borderId="41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172" fontId="19" fillId="26" borderId="52" xfId="0" applyNumberFormat="1" applyFont="1" applyFill="1" applyBorder="1" applyAlignment="1">
      <alignment horizontal="center" vertical="center" wrapText="1"/>
    </xf>
    <xf numFmtId="4" fontId="18" fillId="26" borderId="11" xfId="0" applyNumberFormat="1" applyFont="1" applyFill="1" applyBorder="1" applyAlignment="1">
      <alignment vertical="center" wrapText="1"/>
    </xf>
    <xf numFmtId="0" fontId="18" fillId="26" borderId="61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wrapText="1"/>
    </xf>
    <xf numFmtId="0" fontId="18" fillId="26" borderId="45" xfId="0" applyFont="1" applyFill="1" applyBorder="1" applyAlignment="1">
      <alignment horizontal="center" vertical="center" wrapText="1"/>
    </xf>
    <xf numFmtId="172" fontId="19" fillId="26" borderId="27" xfId="0" applyNumberFormat="1" applyFont="1" applyFill="1" applyBorder="1" applyAlignment="1">
      <alignment horizontal="center" vertical="center" wrapText="1"/>
    </xf>
    <xf numFmtId="4" fontId="18" fillId="26" borderId="11" xfId="0" applyNumberFormat="1" applyFont="1" applyFill="1" applyBorder="1" applyAlignment="1">
      <alignment horizontal="center" vertical="center" wrapText="1"/>
    </xf>
    <xf numFmtId="0" fontId="18" fillId="26" borderId="0" xfId="0" applyFont="1" applyFill="1" applyAlignment="1">
      <alignment horizontal="center" vertical="center" wrapText="1"/>
    </xf>
    <xf numFmtId="0" fontId="23" fillId="30" borderId="51" xfId="0" applyFont="1" applyFill="1" applyBorder="1" applyAlignment="1">
      <alignment horizontal="center" vertical="center"/>
    </xf>
    <xf numFmtId="0" fontId="23" fillId="30" borderId="25" xfId="0" applyFont="1" applyFill="1" applyBorder="1" applyAlignment="1">
      <alignment horizontal="center" vertical="center"/>
    </xf>
    <xf numFmtId="0" fontId="23" fillId="30" borderId="39" xfId="0" applyFont="1" applyFill="1" applyBorder="1" applyAlignment="1">
      <alignment horizontal="center" vertical="center"/>
    </xf>
    <xf numFmtId="0" fontId="23" fillId="30" borderId="53" xfId="0" applyFont="1" applyFill="1" applyBorder="1" applyAlignment="1">
      <alignment horizontal="center" vertical="center"/>
    </xf>
    <xf numFmtId="0" fontId="23" fillId="30" borderId="52" xfId="0" applyFont="1" applyFill="1" applyBorder="1" applyAlignment="1">
      <alignment horizontal="center" vertical="center"/>
    </xf>
    <xf numFmtId="0" fontId="23" fillId="30" borderId="24" xfId="0" applyFont="1" applyFill="1" applyBorder="1" applyAlignment="1">
      <alignment horizontal="center" vertical="center"/>
    </xf>
    <xf numFmtId="0" fontId="23" fillId="30" borderId="50" xfId="0" applyFont="1" applyFill="1" applyBorder="1" applyAlignment="1">
      <alignment horizontal="center" vertical="center"/>
    </xf>
    <xf numFmtId="0" fontId="23" fillId="30" borderId="31" xfId="0" applyFont="1" applyFill="1" applyBorder="1" applyAlignment="1">
      <alignment horizontal="center" vertical="center"/>
    </xf>
    <xf numFmtId="172" fontId="25" fillId="30" borderId="52" xfId="0" applyNumberFormat="1" applyFont="1" applyFill="1" applyBorder="1" applyAlignment="1">
      <alignment horizontal="center" vertical="center"/>
    </xf>
    <xf numFmtId="4" fontId="23" fillId="26" borderId="11" xfId="0" applyNumberFormat="1" applyFont="1" applyFill="1" applyBorder="1" applyAlignment="1">
      <alignment horizontal="center" vertical="center"/>
    </xf>
    <xf numFmtId="0" fontId="23" fillId="26" borderId="0" xfId="0" applyFont="1" applyFill="1" applyAlignment="1">
      <alignment horizontal="center" vertical="center"/>
    </xf>
    <xf numFmtId="0" fontId="26" fillId="26" borderId="64" xfId="0" applyFont="1" applyFill="1" applyBorder="1" applyAlignment="1">
      <alignment wrapText="1"/>
    </xf>
    <xf numFmtId="0" fontId="18" fillId="27" borderId="21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170" fontId="18" fillId="26" borderId="21" xfId="0" applyNumberFormat="1" applyFont="1" applyFill="1" applyBorder="1" applyAlignment="1">
      <alignment vertical="center"/>
    </xf>
    <xf numFmtId="167" fontId="18" fillId="26" borderId="21" xfId="0" applyNumberFormat="1" applyFont="1" applyFill="1" applyBorder="1" applyAlignment="1">
      <alignment vertical="center"/>
    </xf>
    <xf numFmtId="171" fontId="18" fillId="26" borderId="32" xfId="0" applyNumberFormat="1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9" fontId="18" fillId="2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34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71" fontId="18" fillId="26" borderId="16" xfId="0" applyNumberFormat="1" applyFont="1" applyFill="1" applyBorder="1" applyAlignment="1">
      <alignment horizontal="right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67" fontId="18" fillId="26" borderId="40" xfId="0" applyNumberFormat="1" applyFont="1" applyFill="1" applyBorder="1" applyAlignment="1">
      <alignment vertical="center"/>
    </xf>
    <xf numFmtId="0" fontId="18" fillId="27" borderId="38" xfId="0" applyFont="1" applyFill="1" applyBorder="1" applyAlignment="1">
      <alignment horizontal="center" vertical="center"/>
    </xf>
    <xf numFmtId="167" fontId="18" fillId="26" borderId="36" xfId="0" applyNumberFormat="1" applyFont="1" applyFill="1" applyBorder="1" applyAlignment="1">
      <alignment vertical="center"/>
    </xf>
    <xf numFmtId="171" fontId="19" fillId="28" borderId="33" xfId="0" applyNumberFormat="1" applyFont="1" applyFill="1" applyBorder="1" applyAlignment="1">
      <alignment vertical="center"/>
    </xf>
    <xf numFmtId="172" fontId="18" fillId="26" borderId="43" xfId="0" applyNumberFormat="1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0" fontId="18" fillId="26" borderId="0" xfId="0" applyFont="1" applyFill="1" applyAlignment="1">
      <alignment vertical="center"/>
    </xf>
    <xf numFmtId="0" fontId="27" fillId="26" borderId="59" xfId="0" applyFont="1" applyFill="1" applyBorder="1" applyAlignment="1">
      <alignment wrapText="1"/>
    </xf>
    <xf numFmtId="0" fontId="18" fillId="27" borderId="4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0" fontId="18" fillId="27" borderId="14" xfId="0" applyFont="1" applyFill="1" applyBorder="1" applyAlignment="1">
      <alignment horizontal="center" vertical="center"/>
    </xf>
    <xf numFmtId="170" fontId="18" fillId="26" borderId="47" xfId="0" applyNumberFormat="1" applyFont="1" applyFill="1" applyBorder="1" applyAlignment="1">
      <alignment vertical="center"/>
    </xf>
    <xf numFmtId="167" fontId="18" fillId="26" borderId="47" xfId="0" applyNumberFormat="1" applyFont="1" applyFill="1" applyBorder="1" applyAlignment="1">
      <alignment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11" xfId="0" applyFont="1" applyFill="1" applyBorder="1" applyAlignment="1">
      <alignment horizontal="center"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18" fillId="27" borderId="35" xfId="0" applyFont="1" applyFill="1" applyBorder="1" applyAlignment="1">
      <alignment horizontal="center" vertical="center"/>
    </xf>
    <xf numFmtId="167" fontId="18" fillId="26" borderId="35" xfId="0" applyNumberFormat="1" applyFont="1" applyFill="1" applyBorder="1" applyAlignment="1">
      <alignment vertical="center"/>
    </xf>
    <xf numFmtId="171" fontId="19" fillId="28" borderId="11" xfId="0" applyNumberFormat="1" applyFont="1" applyFill="1" applyBorder="1" applyAlignment="1">
      <alignment vertical="center"/>
    </xf>
    <xf numFmtId="172" fontId="18" fillId="26" borderId="14" xfId="0" applyNumberFormat="1" applyFont="1" applyFill="1" applyBorder="1" applyAlignment="1">
      <alignment horizontal="center" vertical="center"/>
    </xf>
    <xf numFmtId="0" fontId="27" fillId="26" borderId="62" xfId="0" applyFont="1" applyFill="1" applyBorder="1" applyAlignment="1">
      <alignment wrapText="1"/>
    </xf>
    <xf numFmtId="0" fontId="28" fillId="28" borderId="31" xfId="0" applyFont="1" applyFill="1" applyBorder="1" applyAlignment="1">
      <alignment wrapText="1"/>
    </xf>
    <xf numFmtId="167" fontId="29" fillId="26" borderId="66" xfId="0" applyNumberFormat="1" applyFont="1" applyFill="1" applyBorder="1" applyAlignment="1">
      <alignment horizontal="right" vertical="center"/>
    </xf>
    <xf numFmtId="165" fontId="29" fillId="26" borderId="26" xfId="0" applyNumberFormat="1" applyFont="1" applyFill="1" applyBorder="1" applyAlignment="1">
      <alignment horizontal="right" vertical="center"/>
    </xf>
    <xf numFmtId="167" fontId="19" fillId="28" borderId="18" xfId="0" applyNumberFormat="1" applyFont="1" applyFill="1" applyBorder="1" applyAlignment="1">
      <alignment horizontal="right" vertical="center"/>
    </xf>
    <xf numFmtId="165" fontId="19" fillId="28" borderId="26" xfId="0" applyNumberFormat="1" applyFont="1" applyFill="1" applyBorder="1" applyAlignment="1">
      <alignment horizontal="right" vertical="center"/>
    </xf>
    <xf numFmtId="168" fontId="19" fillId="28" borderId="27" xfId="0" applyNumberFormat="1" applyFont="1" applyFill="1" applyBorder="1" applyAlignment="1">
      <alignment horizontal="right" vertical="center"/>
    </xf>
    <xf numFmtId="166" fontId="19" fillId="28" borderId="17" xfId="0" applyNumberFormat="1" applyFont="1" applyFill="1" applyBorder="1" applyAlignment="1">
      <alignment horizontal="center" vertical="center" wrapText="1"/>
    </xf>
    <xf numFmtId="167" fontId="19" fillId="28" borderId="45" xfId="0" applyNumberFormat="1" applyFont="1" applyFill="1" applyBorder="1" applyAlignment="1">
      <alignment horizontal="center" vertical="center"/>
    </xf>
    <xf numFmtId="166" fontId="19" fillId="28" borderId="31" xfId="0" applyNumberFormat="1" applyFont="1" applyFill="1" applyBorder="1" applyAlignment="1">
      <alignment horizontal="center" vertical="center" wrapText="1"/>
    </xf>
    <xf numFmtId="167" fontId="19" fillId="28" borderId="31" xfId="0" applyNumberFormat="1" applyFont="1" applyFill="1" applyBorder="1" applyAlignment="1">
      <alignment vertical="center"/>
    </xf>
    <xf numFmtId="4" fontId="19" fillId="28" borderId="26" xfId="0" applyNumberFormat="1" applyFont="1" applyFill="1" applyBorder="1" applyAlignment="1">
      <alignment horizontal="center" vertical="center"/>
    </xf>
    <xf numFmtId="172" fontId="29" fillId="28" borderId="17" xfId="0" applyNumberFormat="1" applyFont="1" applyFill="1" applyBorder="1" applyAlignment="1">
      <alignment horizontal="center" vertical="center"/>
    </xf>
    <xf numFmtId="173" fontId="19" fillId="28" borderId="17" xfId="0" applyNumberFormat="1" applyFont="1" applyFill="1" applyBorder="1" applyAlignment="1">
      <alignment horizontal="center" vertical="center"/>
    </xf>
    <xf numFmtId="167" fontId="19" fillId="28" borderId="17" xfId="0" applyNumberFormat="1" applyFont="1" applyFill="1" applyBorder="1" applyAlignment="1">
      <alignment horizontal="right" vertical="center"/>
    </xf>
    <xf numFmtId="167" fontId="19" fillId="28" borderId="26" xfId="0" applyNumberFormat="1" applyFont="1" applyFill="1" applyBorder="1" applyAlignment="1">
      <alignment horizontal="right" vertical="center"/>
    </xf>
    <xf numFmtId="167" fontId="19" fillId="28" borderId="52" xfId="0" applyNumberFormat="1" applyFont="1" applyFill="1" applyBorder="1" applyAlignment="1">
      <alignment horizontal="right" vertical="center"/>
    </xf>
    <xf numFmtId="171" fontId="19" fillId="28" borderId="24" xfId="0" applyNumberFormat="1" applyFont="1" applyFill="1" applyBorder="1" applyAlignment="1">
      <alignment vertical="center"/>
    </xf>
    <xf numFmtId="0" fontId="19" fillId="26" borderId="50" xfId="0" applyFont="1" applyFill="1" applyBorder="1" applyAlignment="1">
      <alignment horizontal="center" vertical="center"/>
    </xf>
    <xf numFmtId="172" fontId="18" fillId="26" borderId="0" xfId="0" applyNumberFormat="1" applyFont="1" applyFill="1" applyAlignment="1">
      <alignment vertical="center"/>
    </xf>
    <xf numFmtId="4" fontId="18" fillId="26" borderId="0" xfId="0" applyNumberFormat="1" applyFont="1" applyFill="1" applyAlignment="1">
      <alignment vertical="center"/>
    </xf>
    <xf numFmtId="167" fontId="18" fillId="26" borderId="0" xfId="0" applyNumberFormat="1" applyFont="1" applyFill="1" applyAlignment="1">
      <alignment vertical="center"/>
    </xf>
    <xf numFmtId="171" fontId="18" fillId="26" borderId="0" xfId="0" applyNumberFormat="1" applyFont="1" applyFill="1" applyAlignment="1">
      <alignment vertical="center"/>
    </xf>
    <xf numFmtId="0" fontId="18" fillId="26" borderId="0" xfId="0" applyFont="1" applyFill="1" applyAlignment="1">
      <alignment horizontal="right" vertical="top" wrapText="1"/>
    </xf>
    <xf numFmtId="0" fontId="18" fillId="26" borderId="0" xfId="0" applyFont="1" applyFill="1" applyBorder="1" applyAlignment="1">
      <alignment vertical="top" wrapText="1"/>
    </xf>
    <xf numFmtId="0" fontId="18" fillId="26" borderId="11" xfId="0" applyFont="1" applyFill="1" applyBorder="1" applyAlignment="1">
      <alignment horizontal="center" vertical="center" wrapText="1"/>
    </xf>
    <xf numFmtId="3" fontId="25" fillId="26" borderId="26" xfId="0" applyNumberFormat="1" applyFont="1" applyFill="1" applyBorder="1" applyAlignment="1">
      <alignment horizontal="center" vertical="center" wrapText="1"/>
    </xf>
    <xf numFmtId="3" fontId="25" fillId="26" borderId="17" xfId="0" applyNumberFormat="1" applyFont="1" applyFill="1" applyBorder="1" applyAlignment="1">
      <alignment horizontal="center" vertical="center" wrapText="1"/>
    </xf>
    <xf numFmtId="3" fontId="25" fillId="26" borderId="45" xfId="0" applyNumberFormat="1" applyFont="1" applyFill="1" applyBorder="1" applyAlignment="1">
      <alignment horizontal="center" vertical="center" wrapText="1"/>
    </xf>
    <xf numFmtId="3" fontId="25" fillId="26" borderId="31" xfId="0" applyNumberFormat="1" applyFont="1" applyFill="1" applyBorder="1" applyAlignment="1">
      <alignment horizontal="center" vertical="center" wrapText="1"/>
    </xf>
    <xf numFmtId="3" fontId="30" fillId="26" borderId="0" xfId="0" applyNumberFormat="1" applyFont="1" applyFill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/>
    </xf>
    <xf numFmtId="171" fontId="18" fillId="26" borderId="43" xfId="0" applyNumberFormat="1" applyFont="1" applyFill="1" applyBorder="1" applyAlignment="1">
      <alignment horizontal="center"/>
    </xf>
    <xf numFmtId="171" fontId="18" fillId="26" borderId="34" xfId="0" applyNumberFormat="1" applyFont="1" applyFill="1" applyBorder="1" applyAlignment="1">
      <alignment horizontal="center" vertical="center" wrapText="1"/>
    </xf>
    <xf numFmtId="172" fontId="19" fillId="26" borderId="69" xfId="0" applyNumberFormat="1" applyFont="1" applyFill="1" applyBorder="1" applyAlignment="1">
      <alignment horizontal="center" vertical="center" wrapText="1"/>
    </xf>
    <xf numFmtId="166" fontId="18" fillId="26" borderId="0" xfId="0" applyNumberFormat="1" applyFont="1" applyFill="1" applyAlignment="1">
      <alignment vertical="top" wrapText="1"/>
    </xf>
    <xf numFmtId="0" fontId="18" fillId="26" borderId="47" xfId="0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center" vertical="center"/>
    </xf>
    <xf numFmtId="171" fontId="18" fillId="26" borderId="15" xfId="0" applyNumberFormat="1" applyFont="1" applyFill="1" applyBorder="1" applyAlignment="1">
      <alignment horizontal="center" vertical="center"/>
    </xf>
    <xf numFmtId="0" fontId="27" fillId="26" borderId="11" xfId="0" applyFont="1" applyFill="1" applyBorder="1" applyAlignment="1">
      <alignment wrapText="1"/>
    </xf>
    <xf numFmtId="0" fontId="19" fillId="26" borderId="0" xfId="0" applyFont="1" applyFill="1" applyAlignment="1">
      <alignment horizontal="center" vertical="center"/>
    </xf>
    <xf numFmtId="164" fontId="31" fillId="26" borderId="0" xfId="0" applyNumberFormat="1" applyFont="1" applyFill="1" applyAlignment="1">
      <alignment horizontal="center" vertical="center"/>
    </xf>
    <xf numFmtId="0" fontId="32" fillId="26" borderId="0" xfId="0" applyFont="1" applyFill="1"/>
    <xf numFmtId="0" fontId="18" fillId="26" borderId="21" xfId="0" applyFont="1" applyFill="1" applyBorder="1" applyAlignment="1">
      <alignment horizontal="center" vertical="center" wrapText="1"/>
    </xf>
    <xf numFmtId="0" fontId="18" fillId="26" borderId="70" xfId="0" applyFont="1" applyFill="1" applyBorder="1" applyAlignment="1">
      <alignment horizontal="center" vertical="center" wrapText="1"/>
    </xf>
    <xf numFmtId="0" fontId="18" fillId="26" borderId="7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164" fontId="23" fillId="26" borderId="20" xfId="0" applyNumberFormat="1" applyFont="1" applyFill="1" applyBorder="1" applyAlignment="1">
      <alignment horizontal="center" vertical="center" wrapText="1"/>
    </xf>
    <xf numFmtId="164" fontId="23" fillId="26" borderId="16" xfId="0" applyNumberFormat="1" applyFont="1" applyFill="1" applyBorder="1" applyAlignment="1">
      <alignment horizontal="center" vertical="center" wrapText="1"/>
    </xf>
    <xf numFmtId="164" fontId="23" fillId="30" borderId="29" xfId="0" applyNumberFormat="1" applyFont="1" applyFill="1" applyBorder="1" applyAlignment="1">
      <alignment horizontal="center" vertical="center" wrapText="1"/>
    </xf>
    <xf numFmtId="0" fontId="23" fillId="30" borderId="26" xfId="0" applyFont="1" applyFill="1" applyBorder="1" applyAlignment="1">
      <alignment horizontal="center" vertical="center"/>
    </xf>
    <xf numFmtId="0" fontId="23" fillId="30" borderId="17" xfId="0" applyFont="1" applyFill="1" applyBorder="1" applyAlignment="1">
      <alignment horizontal="center" vertical="center"/>
    </xf>
    <xf numFmtId="0" fontId="18" fillId="26" borderId="32" xfId="0" applyFont="1" applyFill="1" applyBorder="1" applyAlignment="1">
      <alignment horizontal="center" vertical="center"/>
    </xf>
    <xf numFmtId="3" fontId="18" fillId="26" borderId="67" xfId="0" applyNumberFormat="1" applyFont="1" applyFill="1" applyBorder="1" applyAlignment="1">
      <alignment horizontal="center" vertical="center"/>
    </xf>
    <xf numFmtId="0" fontId="18" fillId="26" borderId="35" xfId="0" applyFont="1" applyFill="1" applyBorder="1" applyAlignment="1">
      <alignment horizontal="center" vertical="center"/>
    </xf>
    <xf numFmtId="3" fontId="18" fillId="26" borderId="65" xfId="0" applyNumberFormat="1" applyFont="1" applyFill="1" applyBorder="1" applyAlignment="1">
      <alignment horizontal="center" vertical="center"/>
    </xf>
    <xf numFmtId="3" fontId="18" fillId="26" borderId="58" xfId="0" applyNumberFormat="1" applyFont="1" applyFill="1" applyBorder="1" applyAlignment="1">
      <alignment horizontal="center" vertical="center"/>
    </xf>
    <xf numFmtId="3" fontId="18" fillId="26" borderId="68" xfId="0" applyNumberFormat="1" applyFont="1" applyFill="1" applyBorder="1" applyAlignment="1">
      <alignment horizontal="center" vertical="center"/>
    </xf>
    <xf numFmtId="0" fontId="19" fillId="26" borderId="26" xfId="0" applyFont="1" applyFill="1" applyBorder="1" applyAlignment="1">
      <alignment vertical="center"/>
    </xf>
    <xf numFmtId="0" fontId="19" fillId="26" borderId="17" xfId="0" applyFont="1" applyFill="1" applyBorder="1" applyAlignment="1">
      <alignment vertical="center"/>
    </xf>
    <xf numFmtId="3" fontId="19" fillId="26" borderId="17" xfId="0" applyNumberFormat="1" applyFont="1" applyFill="1" applyBorder="1" applyAlignment="1">
      <alignment horizontal="center" vertical="center"/>
    </xf>
    <xf numFmtId="4" fontId="19" fillId="26" borderId="17" xfId="0" applyNumberFormat="1" applyFont="1" applyFill="1" applyBorder="1" applyAlignment="1">
      <alignment horizontal="center" vertical="center"/>
    </xf>
    <xf numFmtId="0" fontId="18" fillId="26" borderId="0" xfId="0" applyFont="1" applyFill="1" applyAlignment="1">
      <alignment horizontal="center" vertical="center"/>
    </xf>
    <xf numFmtId="0" fontId="18" fillId="26" borderId="47" xfId="0" applyFont="1" applyFill="1" applyBorder="1" applyAlignment="1">
      <alignment horizontal="center" vertical="center" wrapText="1"/>
    </xf>
    <xf numFmtId="0" fontId="26" fillId="26" borderId="67" xfId="0" applyFont="1" applyFill="1" applyBorder="1" applyAlignment="1">
      <alignment wrapText="1"/>
    </xf>
    <xf numFmtId="0" fontId="27" fillId="26" borderId="47" xfId="0" applyFont="1" applyFill="1" applyBorder="1" applyAlignment="1">
      <alignment wrapText="1"/>
    </xf>
    <xf numFmtId="0" fontId="27" fillId="26" borderId="72" xfId="0" applyFont="1" applyFill="1" applyBorder="1" applyAlignment="1">
      <alignment wrapText="1"/>
    </xf>
    <xf numFmtId="0" fontId="27" fillId="26" borderId="48" xfId="0" applyFont="1" applyFill="1" applyBorder="1" applyAlignment="1">
      <alignment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9" fillId="26" borderId="0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18" fillId="26" borderId="19" xfId="0" applyFont="1" applyFill="1" applyBorder="1" applyAlignment="1">
      <alignment horizontal="center" vertical="center"/>
    </xf>
    <xf numFmtId="0" fontId="18" fillId="26" borderId="58" xfId="0" applyFont="1" applyFill="1" applyBorder="1" applyAlignment="1">
      <alignment horizontal="center" vertical="center"/>
    </xf>
    <xf numFmtId="0" fontId="18" fillId="26" borderId="51" xfId="0" applyFont="1" applyFill="1" applyBorder="1" applyAlignment="1">
      <alignment horizontal="center" vertical="center"/>
    </xf>
    <xf numFmtId="0" fontId="19" fillId="26" borderId="0" xfId="0" applyFont="1" applyFill="1" applyBorder="1" applyAlignment="1">
      <alignment horizontal="center" vertical="top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30" borderId="11" xfId="0" applyFont="1" applyFill="1" applyBorder="1" applyAlignment="1">
      <alignment horizontal="center" vertical="center" wrapText="1"/>
    </xf>
    <xf numFmtId="4" fontId="19" fillId="25" borderId="11" xfId="0" applyNumberFormat="1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4" xfId="0" applyFont="1" applyFill="1" applyBorder="1" applyAlignment="1">
      <alignment horizontal="center" vertical="center" textRotation="90" wrapText="1"/>
    </xf>
    <xf numFmtId="0" fontId="19" fillId="25" borderId="57" xfId="0" applyFont="1" applyFill="1" applyBorder="1" applyAlignment="1">
      <alignment horizontal="left" vertical="center" wrapText="1"/>
    </xf>
    <xf numFmtId="0" fontId="19" fillId="25" borderId="42" xfId="0" applyFont="1" applyFill="1" applyBorder="1" applyAlignment="1">
      <alignment horizontal="left" vertical="center" wrapText="1"/>
    </xf>
    <xf numFmtId="0" fontId="19" fillId="25" borderId="21" xfId="0" applyFont="1" applyFill="1" applyBorder="1" applyAlignment="1">
      <alignment horizontal="center" vertical="center" wrapText="1"/>
    </xf>
    <xf numFmtId="0" fontId="19" fillId="25" borderId="47" xfId="0" applyFont="1" applyFill="1" applyBorder="1" applyAlignment="1">
      <alignment horizontal="center" vertical="center" wrapText="1"/>
    </xf>
    <xf numFmtId="0" fontId="19" fillId="25" borderId="48" xfId="0" applyFont="1" applyFill="1" applyBorder="1" applyAlignment="1">
      <alignment horizontal="center" vertical="center" wrapText="1"/>
    </xf>
    <xf numFmtId="0" fontId="19" fillId="24" borderId="32" xfId="0" applyFont="1" applyFill="1" applyBorder="1" applyAlignment="1">
      <alignment horizontal="center" vertical="center" wrapText="1"/>
    </xf>
    <xf numFmtId="0" fontId="19" fillId="24" borderId="33" xfId="0" applyFont="1" applyFill="1" applyBorder="1" applyAlignment="1">
      <alignment horizontal="center" vertical="center" wrapText="1"/>
    </xf>
    <xf numFmtId="0" fontId="19" fillId="24" borderId="34" xfId="0" applyFont="1" applyFill="1" applyBorder="1" applyAlignment="1">
      <alignment horizontal="center" vertical="center" wrapText="1"/>
    </xf>
    <xf numFmtId="0" fontId="19" fillId="31" borderId="36" xfId="0" applyFont="1" applyFill="1" applyBorder="1" applyAlignment="1">
      <alignment horizontal="center" vertical="center" wrapText="1"/>
    </xf>
    <xf numFmtId="0" fontId="19" fillId="31" borderId="37" xfId="0" applyFont="1" applyFill="1" applyBorder="1" applyAlignment="1">
      <alignment horizontal="center" vertical="center" wrapText="1"/>
    </xf>
    <xf numFmtId="0" fontId="19" fillId="31" borderId="39" xfId="0" applyFont="1" applyFill="1" applyBorder="1" applyAlignment="1">
      <alignment horizontal="center" vertical="center" wrapText="1"/>
    </xf>
    <xf numFmtId="0" fontId="19" fillId="25" borderId="43" xfId="0" applyFont="1" applyFill="1" applyBorder="1" applyAlignment="1">
      <alignment horizontal="center" vertical="center" wrapText="1"/>
    </xf>
    <xf numFmtId="0" fontId="19" fillId="25" borderId="14" xfId="0" applyFont="1" applyFill="1" applyBorder="1" applyAlignment="1">
      <alignment horizontal="center" vertical="center" wrapText="1"/>
    </xf>
    <xf numFmtId="0" fontId="19" fillId="25" borderId="44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172" fontId="19" fillId="32" borderId="42" xfId="0" applyNumberFormat="1" applyFont="1" applyFill="1" applyBorder="1" applyAlignment="1">
      <alignment horizontal="center" vertical="center" wrapText="1"/>
    </xf>
    <xf numFmtId="172" fontId="19" fillId="32" borderId="22" xfId="0" applyNumberFormat="1" applyFont="1" applyFill="1" applyBorder="1" applyAlignment="1">
      <alignment horizontal="center" vertical="center" wrapText="1"/>
    </xf>
    <xf numFmtId="172" fontId="19" fillId="32" borderId="24" xfId="0" applyNumberFormat="1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19" fillId="25" borderId="54" xfId="0" applyFont="1" applyFill="1" applyBorder="1" applyAlignment="1">
      <alignment horizontal="center" vertical="center" wrapText="1"/>
    </xf>
    <xf numFmtId="0" fontId="19" fillId="25" borderId="59" xfId="0" applyFont="1" applyFill="1" applyBorder="1" applyAlignment="1">
      <alignment horizontal="center" vertical="center" wrapText="1"/>
    </xf>
    <xf numFmtId="0" fontId="19" fillId="25" borderId="60" xfId="0" applyFont="1" applyFill="1" applyBorder="1" applyAlignment="1">
      <alignment horizontal="center" vertical="center" wrapText="1"/>
    </xf>
    <xf numFmtId="0" fontId="19" fillId="25" borderId="36" xfId="0" applyFont="1" applyFill="1" applyBorder="1" applyAlignment="1">
      <alignment horizontal="center" vertical="center" wrapText="1"/>
    </xf>
    <xf numFmtId="0" fontId="19" fillId="25" borderId="42" xfId="0" applyFont="1" applyFill="1" applyBorder="1" applyAlignment="1">
      <alignment horizontal="center" vertical="center" wrapText="1"/>
    </xf>
    <xf numFmtId="0" fontId="19" fillId="25" borderId="63" xfId="0" applyFont="1" applyFill="1" applyBorder="1" applyAlignment="1">
      <alignment horizontal="center" vertical="center" wrapText="1"/>
    </xf>
    <xf numFmtId="0" fontId="18" fillId="26" borderId="28" xfId="0" applyFont="1" applyFill="1" applyBorder="1" applyAlignment="1">
      <alignment horizontal="center" vertical="center" wrapText="1"/>
    </xf>
    <xf numFmtId="0" fontId="23" fillId="26" borderId="30" xfId="0" applyFont="1" applyFill="1" applyBorder="1" applyAlignment="1">
      <alignment horizontal="center" vertical="center" wrapText="1"/>
    </xf>
    <xf numFmtId="0" fontId="19" fillId="29" borderId="32" xfId="0" applyFont="1" applyFill="1" applyBorder="1" applyAlignment="1">
      <alignment horizontal="center" vertical="center" wrapText="1"/>
    </xf>
    <xf numFmtId="0" fontId="19" fillId="29" borderId="34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9" fillId="26" borderId="21" xfId="0" applyFont="1" applyFill="1" applyBorder="1" applyAlignment="1">
      <alignment horizontal="center" vertical="center" wrapText="1"/>
    </xf>
    <xf numFmtId="0" fontId="19" fillId="26" borderId="48" xfId="0" applyFont="1" applyFill="1" applyBorder="1" applyAlignment="1">
      <alignment horizontal="center" vertical="center" wrapText="1"/>
    </xf>
    <xf numFmtId="0" fontId="19" fillId="25" borderId="26" xfId="0" applyFont="1" applyFill="1" applyBorder="1" applyAlignment="1">
      <alignment horizontal="center" vertical="center" wrapText="1"/>
    </xf>
    <xf numFmtId="0" fontId="19" fillId="25" borderId="17" xfId="0" applyFont="1" applyFill="1" applyBorder="1" applyAlignment="1">
      <alignment horizontal="center" vertical="center" wrapText="1"/>
    </xf>
    <xf numFmtId="0" fontId="19" fillId="25" borderId="18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Y19"/>
  <sheetViews>
    <sheetView view="pageBreakPreview" zoomScaleNormal="90" zoomScaleSheetLayoutView="100" workbookViewId="0">
      <selection activeCell="E5" sqref="E5:H6"/>
    </sheetView>
  </sheetViews>
  <sheetFormatPr defaultRowHeight="18.75"/>
  <cols>
    <col min="1" max="1" width="7.28515625" style="71" customWidth="1"/>
    <col min="2" max="2" width="30.7109375" style="71" customWidth="1"/>
    <col min="3" max="3" width="17.7109375" style="155" customWidth="1"/>
    <col min="4" max="4" width="22.42578125" style="155" customWidth="1"/>
    <col min="5" max="7" width="19.42578125" style="134" customWidth="1"/>
    <col min="8" max="8" width="19.42578125" style="71" customWidth="1"/>
    <col min="9" max="233" width="9.140625" style="71"/>
    <col min="234" max="16384" width="9.140625" style="135"/>
  </cols>
  <sheetData>
    <row r="2" spans="1:8" s="6" customFormat="1" ht="48" customHeight="1">
      <c r="A2" s="167" t="s">
        <v>48</v>
      </c>
      <c r="B2" s="167"/>
      <c r="C2" s="167"/>
      <c r="D2" s="167"/>
      <c r="E2" s="167"/>
      <c r="F2" s="167"/>
      <c r="G2" s="167"/>
      <c r="H2" s="167"/>
    </row>
    <row r="3" spans="1:8" ht="5.25" customHeight="1" thickBot="1">
      <c r="B3" s="6"/>
      <c r="C3" s="133"/>
      <c r="D3" s="133"/>
    </row>
    <row r="4" spans="1:8" ht="20.25" customHeight="1" thickBot="1">
      <c r="A4" s="169" t="s">
        <v>0</v>
      </c>
      <c r="B4" s="161" t="s">
        <v>7</v>
      </c>
      <c r="C4" s="164" t="s">
        <v>34</v>
      </c>
      <c r="D4" s="165"/>
      <c r="E4" s="166"/>
      <c r="F4" s="166"/>
      <c r="G4" s="166"/>
      <c r="H4" s="166"/>
    </row>
    <row r="5" spans="1:8" s="12" customFormat="1" ht="86.25" customHeight="1">
      <c r="A5" s="170"/>
      <c r="B5" s="162"/>
      <c r="C5" s="136" t="s">
        <v>96</v>
      </c>
      <c r="D5" s="137" t="s">
        <v>40</v>
      </c>
      <c r="E5" s="168" t="s">
        <v>97</v>
      </c>
      <c r="F5" s="168"/>
      <c r="G5" s="168"/>
      <c r="H5" s="168"/>
    </row>
    <row r="6" spans="1:8" s="12" customFormat="1" ht="19.5" customHeight="1">
      <c r="A6" s="170"/>
      <c r="B6" s="162"/>
      <c r="C6" s="156" t="s">
        <v>86</v>
      </c>
      <c r="D6" s="138" t="s">
        <v>87</v>
      </c>
      <c r="E6" s="168"/>
      <c r="F6" s="168"/>
      <c r="G6" s="168"/>
      <c r="H6" s="168"/>
    </row>
    <row r="7" spans="1:8" s="12" customFormat="1" ht="112.5" customHeight="1" thickBot="1">
      <c r="A7" s="170"/>
      <c r="B7" s="163"/>
      <c r="C7" s="139" t="s">
        <v>1</v>
      </c>
      <c r="D7" s="139" t="s">
        <v>2</v>
      </c>
      <c r="E7" s="140" t="s">
        <v>68</v>
      </c>
      <c r="F7" s="141" t="s">
        <v>69</v>
      </c>
      <c r="G7" s="141" t="s">
        <v>70</v>
      </c>
      <c r="H7" s="141" t="s">
        <v>71</v>
      </c>
    </row>
    <row r="8" spans="1:8" s="46" customFormat="1" ht="57" thickBot="1">
      <c r="A8" s="171"/>
      <c r="B8" s="40" t="s">
        <v>3</v>
      </c>
      <c r="C8" s="41" t="s">
        <v>5</v>
      </c>
      <c r="D8" s="41" t="s">
        <v>4</v>
      </c>
      <c r="E8" s="142" t="s">
        <v>72</v>
      </c>
      <c r="F8" s="142" t="s">
        <v>73</v>
      </c>
      <c r="G8" s="142" t="s">
        <v>74</v>
      </c>
      <c r="H8" s="142" t="s">
        <v>46</v>
      </c>
    </row>
    <row r="9" spans="1:8" s="46" customFormat="1" ht="19.5" thickBot="1">
      <c r="A9" s="143">
        <v>1</v>
      </c>
      <c r="B9" s="144">
        <v>2</v>
      </c>
      <c r="C9" s="144">
        <v>3</v>
      </c>
      <c r="D9" s="144">
        <v>4</v>
      </c>
      <c r="E9" s="144">
        <v>5</v>
      </c>
      <c r="F9" s="144">
        <v>6</v>
      </c>
      <c r="G9" s="144">
        <v>7</v>
      </c>
      <c r="H9" s="144">
        <v>8</v>
      </c>
    </row>
    <row r="10" spans="1:8">
      <c r="A10" s="145">
        <v>1</v>
      </c>
      <c r="B10" s="47" t="s">
        <v>59</v>
      </c>
      <c r="C10" s="146">
        <v>1750</v>
      </c>
      <c r="D10" s="4">
        <v>3108263</v>
      </c>
      <c r="E10" s="1">
        <v>30</v>
      </c>
      <c r="F10" s="2">
        <v>268.97000000000003</v>
      </c>
      <c r="G10" s="3">
        <v>11699.98</v>
      </c>
      <c r="H10" s="3">
        <v>6</v>
      </c>
    </row>
    <row r="11" spans="1:8">
      <c r="A11" s="147">
        <v>2</v>
      </c>
      <c r="B11" s="72" t="s">
        <v>60</v>
      </c>
      <c r="C11" s="148">
        <v>1318</v>
      </c>
      <c r="D11" s="4">
        <v>3092965</v>
      </c>
      <c r="E11" s="1">
        <v>18</v>
      </c>
      <c r="F11" s="2">
        <v>289.81</v>
      </c>
      <c r="G11" s="3">
        <v>10873.51</v>
      </c>
      <c r="H11" s="3">
        <v>5</v>
      </c>
    </row>
    <row r="12" spans="1:8">
      <c r="A12" s="147">
        <v>3</v>
      </c>
      <c r="B12" s="72" t="s">
        <v>61</v>
      </c>
      <c r="C12" s="148">
        <v>1937</v>
      </c>
      <c r="D12" s="4">
        <v>4097540</v>
      </c>
      <c r="E12" s="1">
        <v>2</v>
      </c>
      <c r="F12" s="2">
        <v>428.53</v>
      </c>
      <c r="G12" s="3">
        <v>11675.03</v>
      </c>
      <c r="H12" s="3">
        <v>8</v>
      </c>
    </row>
    <row r="13" spans="1:8">
      <c r="A13" s="147">
        <v>4</v>
      </c>
      <c r="B13" s="72" t="s">
        <v>62</v>
      </c>
      <c r="C13" s="148">
        <v>1591</v>
      </c>
      <c r="D13" s="4">
        <v>3607305</v>
      </c>
      <c r="E13" s="1">
        <v>22</v>
      </c>
      <c r="F13" s="2">
        <v>326.52</v>
      </c>
      <c r="G13" s="3">
        <v>7761.32</v>
      </c>
      <c r="H13" s="3">
        <v>5</v>
      </c>
    </row>
    <row r="14" spans="1:8">
      <c r="A14" s="147">
        <v>5</v>
      </c>
      <c r="B14" s="72" t="s">
        <v>63</v>
      </c>
      <c r="C14" s="148">
        <v>1063</v>
      </c>
      <c r="D14" s="4">
        <v>3041383</v>
      </c>
      <c r="E14" s="1">
        <v>34</v>
      </c>
      <c r="F14" s="2">
        <v>439.34</v>
      </c>
      <c r="G14" s="3">
        <v>11734.18</v>
      </c>
      <c r="H14" s="3">
        <v>5</v>
      </c>
    </row>
    <row r="15" spans="1:8">
      <c r="A15" s="147">
        <v>6</v>
      </c>
      <c r="B15" s="72" t="s">
        <v>64</v>
      </c>
      <c r="C15" s="148">
        <v>1030</v>
      </c>
      <c r="D15" s="4">
        <v>2971804</v>
      </c>
      <c r="E15" s="1">
        <v>45</v>
      </c>
      <c r="F15" s="2">
        <v>277.26</v>
      </c>
      <c r="G15" s="3">
        <v>6450.6</v>
      </c>
      <c r="H15" s="3">
        <v>3</v>
      </c>
    </row>
    <row r="16" spans="1:8">
      <c r="A16" s="147">
        <v>7</v>
      </c>
      <c r="B16" s="72" t="s">
        <v>65</v>
      </c>
      <c r="C16" s="148">
        <v>1752</v>
      </c>
      <c r="D16" s="4">
        <v>4081154</v>
      </c>
      <c r="E16" s="1">
        <v>15</v>
      </c>
      <c r="F16" s="2">
        <v>399.74</v>
      </c>
      <c r="G16" s="3">
        <v>8289.85</v>
      </c>
      <c r="H16" s="3">
        <v>5</v>
      </c>
    </row>
    <row r="17" spans="1:8">
      <c r="A17" s="147">
        <v>8</v>
      </c>
      <c r="B17" s="91" t="s">
        <v>66</v>
      </c>
      <c r="C17" s="149">
        <v>1396</v>
      </c>
      <c r="D17" s="4">
        <v>3291090</v>
      </c>
      <c r="E17" s="1">
        <v>40</v>
      </c>
      <c r="F17" s="2">
        <v>350</v>
      </c>
      <c r="G17" s="3">
        <v>9243.1</v>
      </c>
      <c r="H17" s="3">
        <v>5</v>
      </c>
    </row>
    <row r="18" spans="1:8" ht="19.5" thickBot="1">
      <c r="A18" s="147">
        <v>9</v>
      </c>
      <c r="B18" s="91" t="s">
        <v>67</v>
      </c>
      <c r="C18" s="150">
        <v>6310</v>
      </c>
      <c r="D18" s="4">
        <v>25344581</v>
      </c>
      <c r="E18" s="1">
        <v>0</v>
      </c>
      <c r="F18" s="2">
        <v>23.39</v>
      </c>
      <c r="G18" s="3">
        <v>997</v>
      </c>
      <c r="H18" s="3">
        <v>2</v>
      </c>
    </row>
    <row r="19" spans="1:8" ht="19.5" thickBot="1">
      <c r="A19" s="151"/>
      <c r="B19" s="152" t="s">
        <v>6</v>
      </c>
      <c r="C19" s="153">
        <f t="shared" ref="C19:H19" si="0">SUM(C10:C18)</f>
        <v>18147</v>
      </c>
      <c r="D19" s="153">
        <f>SUM(D10:D18)</f>
        <v>52636085</v>
      </c>
      <c r="E19" s="153"/>
      <c r="F19" s="153">
        <f t="shared" si="0"/>
        <v>2803.56</v>
      </c>
      <c r="G19" s="154">
        <f t="shared" si="0"/>
        <v>78724.570000000007</v>
      </c>
      <c r="H19" s="153">
        <f t="shared" si="0"/>
        <v>44</v>
      </c>
    </row>
  </sheetData>
  <sheetProtection selectLockedCells="1" selectUnlockedCells="1"/>
  <mergeCells count="5">
    <mergeCell ref="B4:B7"/>
    <mergeCell ref="C4:H4"/>
    <mergeCell ref="A2:H2"/>
    <mergeCell ref="E5:H6"/>
    <mergeCell ref="A4:A8"/>
  </mergeCells>
  <printOptions horizontalCentered="1"/>
  <pageMargins left="1.0826771653543308" right="0.49212598425196852" top="0.78740157480314965" bottom="0.78740157480314965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zoomScale="110" zoomScaleNormal="110" workbookViewId="0">
      <selection activeCell="B19" sqref="B19"/>
    </sheetView>
  </sheetViews>
  <sheetFormatPr defaultColWidth="9.140625" defaultRowHeight="18.75"/>
  <cols>
    <col min="1" max="1" width="6.140625" style="5" customWidth="1"/>
    <col min="2" max="2" width="37.5703125" style="5" customWidth="1"/>
    <col min="3" max="3" width="19.28515625" style="5" customWidth="1"/>
    <col min="4" max="4" width="22" style="5" customWidth="1"/>
    <col min="5" max="5" width="18.5703125" style="5" customWidth="1"/>
    <col min="6" max="6" width="19.5703125" style="5" customWidth="1"/>
    <col min="7" max="7" width="18.140625" style="5" customWidth="1"/>
    <col min="8" max="8" width="18.28515625" style="5" customWidth="1"/>
    <col min="9" max="9" width="13.42578125" style="5" bestFit="1" customWidth="1"/>
    <col min="10" max="16384" width="9.140625" style="5"/>
  </cols>
  <sheetData>
    <row r="1" spans="1:9">
      <c r="C1" s="114"/>
      <c r="D1" s="114"/>
      <c r="E1" s="114"/>
      <c r="F1" s="114"/>
      <c r="G1" s="114"/>
    </row>
    <row r="2" spans="1:9">
      <c r="A2" s="172" t="s">
        <v>41</v>
      </c>
      <c r="B2" s="172"/>
      <c r="C2" s="172"/>
      <c r="D2" s="172"/>
      <c r="E2" s="172"/>
      <c r="F2" s="172"/>
      <c r="G2" s="172"/>
      <c r="H2" s="172"/>
    </row>
    <row r="3" spans="1:9" ht="19.5" thickBot="1">
      <c r="B3" s="115"/>
    </row>
    <row r="4" spans="1:9" s="12" customFormat="1" ht="142.5" customHeight="1">
      <c r="A4" s="173" t="s">
        <v>0</v>
      </c>
      <c r="B4" s="173" t="s">
        <v>39</v>
      </c>
      <c r="C4" s="116" t="s">
        <v>75</v>
      </c>
      <c r="D4" s="116" t="s">
        <v>76</v>
      </c>
      <c r="E4" s="116" t="s">
        <v>77</v>
      </c>
      <c r="F4" s="116" t="s">
        <v>78</v>
      </c>
      <c r="G4" s="116" t="s">
        <v>79</v>
      </c>
      <c r="H4" s="175" t="s">
        <v>80</v>
      </c>
    </row>
    <row r="5" spans="1:9" s="35" customFormat="1" ht="45.75" customHeight="1" thickBot="1">
      <c r="A5" s="174"/>
      <c r="B5" s="174"/>
      <c r="C5" s="116" t="s">
        <v>81</v>
      </c>
      <c r="D5" s="116" t="s">
        <v>82</v>
      </c>
      <c r="E5" s="116" t="s">
        <v>83</v>
      </c>
      <c r="F5" s="116" t="s">
        <v>84</v>
      </c>
      <c r="G5" s="116" t="s">
        <v>85</v>
      </c>
      <c r="H5" s="175"/>
    </row>
    <row r="6" spans="1:9" s="121" customFormat="1" ht="20.25" thickBot="1">
      <c r="A6" s="117">
        <v>1</v>
      </c>
      <c r="B6" s="118">
        <f t="shared" ref="B6:E6" si="0">A6+1</f>
        <v>2</v>
      </c>
      <c r="C6" s="118">
        <f t="shared" si="0"/>
        <v>3</v>
      </c>
      <c r="D6" s="118">
        <f t="shared" si="0"/>
        <v>4</v>
      </c>
      <c r="E6" s="118">
        <f t="shared" si="0"/>
        <v>5</v>
      </c>
      <c r="F6" s="119"/>
      <c r="G6" s="119">
        <f>E6+1</f>
        <v>6</v>
      </c>
      <c r="H6" s="120">
        <f>G6+1</f>
        <v>7</v>
      </c>
    </row>
    <row r="7" spans="1:9" ht="19.5" thickBot="1">
      <c r="A7" s="122">
        <v>1</v>
      </c>
      <c r="B7" s="47" t="s">
        <v>59</v>
      </c>
      <c r="C7" s="123">
        <f>1+'Исходные данные'!E10/'Исходные данные'!E15</f>
        <v>1.6666666666666665</v>
      </c>
      <c r="D7" s="123">
        <v>1.2</v>
      </c>
      <c r="E7" s="124">
        <f>1+'Исходные данные'!F10/'Исходные данные'!F14</f>
        <v>1.612213775208267</v>
      </c>
      <c r="F7" s="125">
        <f>1+'Исходные данные'!G10/'Исходные данные'!G14</f>
        <v>1.9970854375849014</v>
      </c>
      <c r="G7" s="126">
        <f>1+'Исходные данные'!H10/'Исходные данные'!H12</f>
        <v>1.75</v>
      </c>
      <c r="H7" s="127">
        <f>(C7+E7+F7+G7)/4*D7</f>
        <v>2.1077897638379506</v>
      </c>
      <c r="I7" s="128"/>
    </row>
    <row r="8" spans="1:9" ht="19.5" thickBot="1">
      <c r="A8" s="129">
        <v>2</v>
      </c>
      <c r="B8" s="72" t="s">
        <v>60</v>
      </c>
      <c r="C8" s="123">
        <f>1+'Исходные данные'!E11/'Исходные данные'!E15</f>
        <v>1.4</v>
      </c>
      <c r="D8" s="130">
        <v>1.65</v>
      </c>
      <c r="E8" s="124">
        <f>1+'Исходные данные'!F11/'Исходные данные'!F14</f>
        <v>1.6596485637547231</v>
      </c>
      <c r="F8" s="125">
        <f>1+'Исходные данные'!G11/'Исходные данные'!G14</f>
        <v>1.9266527358537195</v>
      </c>
      <c r="G8" s="126">
        <f>1+'Исходные данные'!H11/'Исходные данные'!H12</f>
        <v>1.625</v>
      </c>
      <c r="H8" s="127">
        <f t="shared" ref="H8:H15" si="1">(C8+E8+F8+G8)/4*D8</f>
        <v>2.727161786088482</v>
      </c>
      <c r="I8" s="128"/>
    </row>
    <row r="9" spans="1:9" ht="19.5" thickBot="1">
      <c r="A9" s="129">
        <v>3</v>
      </c>
      <c r="B9" s="72" t="s">
        <v>61</v>
      </c>
      <c r="C9" s="123">
        <f>1+'Исходные данные'!E12/'Исходные данные'!E15</f>
        <v>1.0444444444444445</v>
      </c>
      <c r="D9" s="130">
        <v>1.1000000000000001</v>
      </c>
      <c r="E9" s="124">
        <f>1+'Исходные данные'!F12/'Исходные данные'!F14</f>
        <v>1.9753949105476396</v>
      </c>
      <c r="F9" s="125">
        <f>1+'Исходные данные'!G12/'Исходные данные'!G14</f>
        <v>1.9949591705598517</v>
      </c>
      <c r="G9" s="126">
        <f>1+'Исходные данные'!H12/'Исходные данные'!H12</f>
        <v>2</v>
      </c>
      <c r="H9" s="127">
        <f t="shared" si="1"/>
        <v>1.9290695945267824</v>
      </c>
      <c r="I9" s="128"/>
    </row>
    <row r="10" spans="1:9" ht="19.5" thickBot="1">
      <c r="A10" s="129">
        <v>4</v>
      </c>
      <c r="B10" s="72" t="s">
        <v>62</v>
      </c>
      <c r="C10" s="123">
        <f>1+'Исходные данные'!E13/'Исходные данные'!E15</f>
        <v>1.4888888888888889</v>
      </c>
      <c r="D10" s="130">
        <v>1.3</v>
      </c>
      <c r="E10" s="124">
        <f>1+'Исходные данные'!F13/'Исходные данные'!F14</f>
        <v>1.7432057176674101</v>
      </c>
      <c r="F10" s="125">
        <f>1+'Исходные данные'!G13/'Исходные данные'!G14</f>
        <v>1.6614284082909925</v>
      </c>
      <c r="G10" s="126">
        <f>1+'Исходные данные'!H13/'Исходные данные'!H12</f>
        <v>1.625</v>
      </c>
      <c r="H10" s="127">
        <f t="shared" si="1"/>
        <v>2.1185199798253698</v>
      </c>
      <c r="I10" s="128"/>
    </row>
    <row r="11" spans="1:9" ht="19.5" thickBot="1">
      <c r="A11" s="129">
        <v>5</v>
      </c>
      <c r="B11" s="72" t="s">
        <v>63</v>
      </c>
      <c r="C11" s="123">
        <f>1+'Исходные данные'!E14/'Исходные данные'!E15</f>
        <v>1.7555555555555555</v>
      </c>
      <c r="D11" s="130">
        <v>1.8</v>
      </c>
      <c r="E11" s="124">
        <f>1+'Исходные данные'!F14/'Исходные данные'!F14</f>
        <v>2</v>
      </c>
      <c r="F11" s="125">
        <f>1+'Исходные данные'!G14/'Исходные данные'!G14</f>
        <v>2</v>
      </c>
      <c r="G11" s="126">
        <f>1+'Исходные данные'!H14/'Исходные данные'!H12</f>
        <v>1.625</v>
      </c>
      <c r="H11" s="127">
        <f t="shared" si="1"/>
        <v>3.32125</v>
      </c>
      <c r="I11" s="128"/>
    </row>
    <row r="12" spans="1:9" ht="19.5" thickBot="1">
      <c r="A12" s="129">
        <v>6</v>
      </c>
      <c r="B12" s="72" t="s">
        <v>64</v>
      </c>
      <c r="C12" s="123">
        <f>1+'Исходные данные'!E15/'Исходные данные'!E15</f>
        <v>2</v>
      </c>
      <c r="D12" s="130">
        <v>2.1</v>
      </c>
      <c r="E12" s="124">
        <f>1+'Исходные данные'!F15/'Исходные данные'!F14</f>
        <v>1.6310829881185414</v>
      </c>
      <c r="F12" s="125">
        <f>1+'Исходные данные'!G15/'Исходные данные'!G14</f>
        <v>1.549727377626728</v>
      </c>
      <c r="G12" s="126">
        <f>1+'Исходные данные'!H15/'Исходные данные'!H12</f>
        <v>1.375</v>
      </c>
      <c r="H12" s="127">
        <f t="shared" si="1"/>
        <v>3.4418004420162669</v>
      </c>
      <c r="I12" s="128"/>
    </row>
    <row r="13" spans="1:9" ht="19.5" thickBot="1">
      <c r="A13" s="129">
        <v>7</v>
      </c>
      <c r="B13" s="72" t="s">
        <v>65</v>
      </c>
      <c r="C13" s="123">
        <f>1+'Исходные данные'!E16/'Исходные данные'!E15</f>
        <v>1.3333333333333333</v>
      </c>
      <c r="D13" s="130">
        <v>1.2</v>
      </c>
      <c r="E13" s="124">
        <f>1+'Исходные данные'!F16/'Исходные данные'!F14</f>
        <v>1.9098647971957936</v>
      </c>
      <c r="F13" s="125">
        <f>1+'Исходные данные'!G16/'Исходные данные'!G14</f>
        <v>1.7064703285615186</v>
      </c>
      <c r="G13" s="126">
        <f>1+'Исходные данные'!H16/'Исходные данные'!H12</f>
        <v>1.625</v>
      </c>
      <c r="H13" s="127">
        <f t="shared" si="1"/>
        <v>1.9724005377271936</v>
      </c>
      <c r="I13" s="128"/>
    </row>
    <row r="14" spans="1:9" ht="19.5" thickBot="1">
      <c r="A14" s="129">
        <v>8</v>
      </c>
      <c r="B14" s="91" t="s">
        <v>66</v>
      </c>
      <c r="C14" s="123">
        <f>1+'Исходные данные'!E17/'Исходные данные'!E15</f>
        <v>1.8888888888888888</v>
      </c>
      <c r="D14" s="131">
        <v>1.3</v>
      </c>
      <c r="E14" s="124">
        <f>1+'Исходные данные'!F17/'Исходные данные'!F14</f>
        <v>1.7966495197341468</v>
      </c>
      <c r="F14" s="125">
        <f>1+'Исходные данные'!G17/'Исходные данные'!G14</f>
        <v>1.7877073642981443</v>
      </c>
      <c r="G14" s="126">
        <f>1+'Исходные данные'!H17/'Исходные данные'!H12</f>
        <v>1.625</v>
      </c>
      <c r="H14" s="127">
        <f t="shared" si="1"/>
        <v>2.3069298761993835</v>
      </c>
      <c r="I14" s="128"/>
    </row>
    <row r="15" spans="1:9">
      <c r="A15" s="129">
        <v>9</v>
      </c>
      <c r="B15" s="132" t="s">
        <v>67</v>
      </c>
      <c r="C15" s="123">
        <f>1+'Исходные данные'!E18/'Исходные данные'!E15</f>
        <v>1</v>
      </c>
      <c r="D15" s="130">
        <v>1.05</v>
      </c>
      <c r="E15" s="124">
        <f>1+'Исходные данные'!F18/'Исходные данные'!F14</f>
        <v>1.0532389493330905</v>
      </c>
      <c r="F15" s="125">
        <f>1+'Исходные данные'!G18/'Исходные данные'!G14</f>
        <v>1.0849654598787475</v>
      </c>
      <c r="G15" s="126">
        <f>1+'Исходные данные'!H18/'Исходные данные'!H12</f>
        <v>1.25</v>
      </c>
      <c r="H15" s="127">
        <f t="shared" si="1"/>
        <v>1.1519036574181074</v>
      </c>
      <c r="I15" s="128"/>
    </row>
  </sheetData>
  <sheetProtection selectLockedCells="1" selectUnlockedCells="1"/>
  <mergeCells count="4">
    <mergeCell ref="A2:H2"/>
    <mergeCell ref="A4:A5"/>
    <mergeCell ref="B4:B5"/>
    <mergeCell ref="H4:H5"/>
  </mergeCells>
  <pageMargins left="1.1023622047244095" right="0.51181102362204722" top="0.78740157480314965" bottom="0.78740157480314965" header="0.2755905511811023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3"/>
  <sheetViews>
    <sheetView tabSelected="1" zoomScale="75" zoomScaleNormal="75" workbookViewId="0">
      <pane xSplit="30390" topLeftCell="CW1"/>
      <selection activeCell="I9" sqref="I9"/>
      <selection pane="topRight" activeCell="AX37" sqref="AX37"/>
    </sheetView>
  </sheetViews>
  <sheetFormatPr defaultColWidth="15.28515625" defaultRowHeight="18.75"/>
  <cols>
    <col min="1" max="1" width="34.7109375" style="71" customWidth="1"/>
    <col min="2" max="2" width="23.140625" style="71" customWidth="1"/>
    <col min="3" max="3" width="12.140625" style="71" customWidth="1"/>
    <col min="4" max="4" width="19.85546875" style="71" customWidth="1"/>
    <col min="5" max="5" width="12.85546875" style="71" customWidth="1"/>
    <col min="6" max="6" width="17.42578125" style="71" customWidth="1"/>
    <col min="7" max="7" width="12.5703125" style="71" customWidth="1"/>
    <col min="8" max="8" width="18.42578125" style="71" customWidth="1"/>
    <col min="9" max="10" width="15.42578125" style="71" customWidth="1"/>
    <col min="11" max="11" width="18" style="71" customWidth="1"/>
    <col min="12" max="12" width="19.28515625" style="71" customWidth="1"/>
    <col min="13" max="13" width="14.42578125" style="71" customWidth="1"/>
    <col min="14" max="14" width="13.28515625" style="71" customWidth="1"/>
    <col min="15" max="15" width="16" style="71" customWidth="1"/>
    <col min="16" max="16" width="16.85546875" style="71" customWidth="1"/>
    <col min="17" max="17" width="16.7109375" style="71" customWidth="1"/>
    <col min="18" max="18" width="16.85546875" style="71" customWidth="1"/>
    <col min="19" max="19" width="13.7109375" style="71" customWidth="1"/>
    <col min="20" max="20" width="11.5703125" style="71" customWidth="1"/>
    <col min="21" max="21" width="15" style="71" customWidth="1"/>
    <col min="22" max="22" width="16.5703125" style="71" customWidth="1"/>
    <col min="23" max="23" width="16.28515625" style="71" customWidth="1"/>
    <col min="24" max="24" width="17.28515625" style="71" customWidth="1"/>
    <col min="25" max="25" width="14.85546875" style="71" customWidth="1"/>
    <col min="26" max="26" width="10.5703125" style="71" customWidth="1"/>
    <col min="27" max="27" width="17.7109375" style="71" customWidth="1"/>
    <col min="28" max="28" width="19.85546875" style="71" customWidth="1"/>
    <col min="29" max="29" width="16.28515625" style="71" customWidth="1"/>
    <col min="30" max="30" width="21.28515625" style="71" customWidth="1"/>
    <col min="31" max="31" width="20.5703125" style="110" customWidth="1"/>
    <col min="32" max="32" width="18.140625" style="71" customWidth="1"/>
    <col min="33" max="33" width="17.7109375" style="111" customWidth="1"/>
    <col min="34" max="16384" width="15.28515625" style="71"/>
  </cols>
  <sheetData>
    <row r="1" spans="1:33" s="6" customFormat="1" ht="22.5" customHeight="1">
      <c r="B1" s="6" t="s">
        <v>88</v>
      </c>
      <c r="AE1" s="7"/>
      <c r="AG1" s="8"/>
    </row>
    <row r="2" spans="1:33" s="6" customFormat="1" ht="19.5" thickBot="1">
      <c r="AE2" s="7"/>
      <c r="AG2" s="9"/>
    </row>
    <row r="3" spans="1:33" s="11" customFormat="1" ht="34.5" customHeight="1" thickBot="1">
      <c r="A3" s="173" t="s">
        <v>7</v>
      </c>
      <c r="B3" s="199" t="s">
        <v>36</v>
      </c>
      <c r="C3" s="202" t="s">
        <v>9</v>
      </c>
      <c r="D3" s="203"/>
      <c r="E3" s="203"/>
      <c r="F3" s="204"/>
      <c r="G3" s="213" t="s">
        <v>37</v>
      </c>
      <c r="H3" s="214"/>
      <c r="I3" s="214"/>
      <c r="J3" s="215"/>
      <c r="K3" s="181" t="s">
        <v>90</v>
      </c>
      <c r="L3" s="10" t="s">
        <v>30</v>
      </c>
      <c r="M3" s="179" t="s">
        <v>51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7" t="s">
        <v>53</v>
      </c>
      <c r="AE3" s="195" t="s">
        <v>54</v>
      </c>
      <c r="AF3" s="190" t="s">
        <v>91</v>
      </c>
      <c r="AG3" s="176" t="s">
        <v>89</v>
      </c>
    </row>
    <row r="4" spans="1:33" s="12" customFormat="1" ht="29.25" customHeight="1">
      <c r="A4" s="198"/>
      <c r="B4" s="200"/>
      <c r="C4" s="207" t="s">
        <v>10</v>
      </c>
      <c r="D4" s="208"/>
      <c r="E4" s="207" t="s">
        <v>11</v>
      </c>
      <c r="F4" s="208"/>
      <c r="G4" s="209" t="s">
        <v>92</v>
      </c>
      <c r="H4" s="193" t="s">
        <v>12</v>
      </c>
      <c r="I4" s="193" t="s">
        <v>42</v>
      </c>
      <c r="J4" s="177" t="s">
        <v>44</v>
      </c>
      <c r="K4" s="182"/>
      <c r="L4" s="211" t="s">
        <v>93</v>
      </c>
      <c r="M4" s="184" t="s">
        <v>13</v>
      </c>
      <c r="N4" s="185"/>
      <c r="O4" s="185"/>
      <c r="P4" s="185"/>
      <c r="Q4" s="186"/>
      <c r="R4" s="184" t="s">
        <v>14</v>
      </c>
      <c r="S4" s="185"/>
      <c r="T4" s="185"/>
      <c r="U4" s="185"/>
      <c r="V4" s="185"/>
      <c r="W4" s="186"/>
      <c r="X4" s="184" t="s">
        <v>15</v>
      </c>
      <c r="Y4" s="185"/>
      <c r="Z4" s="185"/>
      <c r="AA4" s="185"/>
      <c r="AB4" s="185"/>
      <c r="AC4" s="186"/>
      <c r="AD4" s="188"/>
      <c r="AE4" s="196"/>
      <c r="AF4" s="191"/>
      <c r="AG4" s="176"/>
    </row>
    <row r="5" spans="1:33" s="12" customFormat="1" ht="384" customHeight="1" thickBot="1">
      <c r="A5" s="198"/>
      <c r="B5" s="201"/>
      <c r="C5" s="205" t="s">
        <v>94</v>
      </c>
      <c r="D5" s="206"/>
      <c r="E5" s="205" t="s">
        <v>49</v>
      </c>
      <c r="F5" s="206"/>
      <c r="G5" s="210"/>
      <c r="H5" s="194"/>
      <c r="I5" s="194"/>
      <c r="J5" s="178"/>
      <c r="K5" s="183"/>
      <c r="L5" s="212"/>
      <c r="M5" s="13" t="s">
        <v>35</v>
      </c>
      <c r="N5" s="14" t="s">
        <v>55</v>
      </c>
      <c r="O5" s="14" t="s">
        <v>43</v>
      </c>
      <c r="P5" s="14" t="s">
        <v>52</v>
      </c>
      <c r="Q5" s="15" t="s">
        <v>16</v>
      </c>
      <c r="R5" s="13" t="s">
        <v>17</v>
      </c>
      <c r="S5" s="14" t="s">
        <v>56</v>
      </c>
      <c r="T5" s="14" t="s">
        <v>35</v>
      </c>
      <c r="U5" s="14" t="s">
        <v>43</v>
      </c>
      <c r="V5" s="14" t="s">
        <v>52</v>
      </c>
      <c r="W5" s="15" t="s">
        <v>18</v>
      </c>
      <c r="X5" s="13" t="s">
        <v>19</v>
      </c>
      <c r="Y5" s="14" t="s">
        <v>57</v>
      </c>
      <c r="Z5" s="14" t="s">
        <v>35</v>
      </c>
      <c r="AA5" s="14" t="s">
        <v>43</v>
      </c>
      <c r="AB5" s="14" t="s">
        <v>52</v>
      </c>
      <c r="AC5" s="15" t="s">
        <v>20</v>
      </c>
      <c r="AD5" s="189"/>
      <c r="AE5" s="197"/>
      <c r="AF5" s="192"/>
      <c r="AG5" s="176"/>
    </row>
    <row r="6" spans="1:33" s="12" customFormat="1" ht="23.25" thickBot="1">
      <c r="A6" s="174"/>
      <c r="B6" s="16" t="s">
        <v>21</v>
      </c>
      <c r="C6" s="17" t="s">
        <v>22</v>
      </c>
      <c r="D6" s="18" t="s">
        <v>23</v>
      </c>
      <c r="E6" s="17" t="s">
        <v>24</v>
      </c>
      <c r="F6" s="18" t="s">
        <v>25</v>
      </c>
      <c r="G6" s="19" t="s">
        <v>1</v>
      </c>
      <c r="H6" s="20" t="s">
        <v>2</v>
      </c>
      <c r="I6" s="21" t="s">
        <v>47</v>
      </c>
      <c r="J6" s="22" t="s">
        <v>58</v>
      </c>
      <c r="K6" s="23" t="s">
        <v>26</v>
      </c>
      <c r="L6" s="23" t="s">
        <v>27</v>
      </c>
      <c r="M6" s="17" t="s">
        <v>26</v>
      </c>
      <c r="N6" s="20" t="s">
        <v>33</v>
      </c>
      <c r="O6" s="20" t="s">
        <v>95</v>
      </c>
      <c r="P6" s="20" t="s">
        <v>32</v>
      </c>
      <c r="Q6" s="18" t="s">
        <v>31</v>
      </c>
      <c r="R6" s="17" t="s">
        <v>25</v>
      </c>
      <c r="S6" s="20" t="s">
        <v>33</v>
      </c>
      <c r="T6" s="20" t="s">
        <v>26</v>
      </c>
      <c r="U6" s="20" t="s">
        <v>95</v>
      </c>
      <c r="V6" s="20" t="s">
        <v>32</v>
      </c>
      <c r="W6" s="18" t="s">
        <v>31</v>
      </c>
      <c r="X6" s="17" t="s">
        <v>25</v>
      </c>
      <c r="Y6" s="20" t="s">
        <v>33</v>
      </c>
      <c r="Z6" s="20" t="s">
        <v>26</v>
      </c>
      <c r="AA6" s="20" t="s">
        <v>95</v>
      </c>
      <c r="AB6" s="20" t="s">
        <v>32</v>
      </c>
      <c r="AC6" s="18" t="s">
        <v>31</v>
      </c>
      <c r="AD6" s="24" t="s">
        <v>31</v>
      </c>
      <c r="AE6" s="25" t="s">
        <v>38</v>
      </c>
      <c r="AF6" s="22" t="s">
        <v>50</v>
      </c>
      <c r="AG6" s="26"/>
    </row>
    <row r="7" spans="1:33" s="35" customFormat="1" ht="19.5" thickBot="1">
      <c r="A7" s="24">
        <v>1</v>
      </c>
      <c r="B7" s="27">
        <f t="shared" ref="B7:Y7" si="0">A7+1</f>
        <v>2</v>
      </c>
      <c r="C7" s="28">
        <f t="shared" si="0"/>
        <v>3</v>
      </c>
      <c r="D7" s="29">
        <f t="shared" si="0"/>
        <v>4</v>
      </c>
      <c r="E7" s="28">
        <f t="shared" si="0"/>
        <v>5</v>
      </c>
      <c r="F7" s="29">
        <f t="shared" si="0"/>
        <v>6</v>
      </c>
      <c r="G7" s="30">
        <f>F7+1</f>
        <v>7</v>
      </c>
      <c r="H7" s="31">
        <f t="shared" si="0"/>
        <v>8</v>
      </c>
      <c r="I7" s="31">
        <f t="shared" ref="I7:L7" si="1">H7+1</f>
        <v>9</v>
      </c>
      <c r="J7" s="32">
        <f>I7+1</f>
        <v>10</v>
      </c>
      <c r="K7" s="24">
        <f>J7+1</f>
        <v>11</v>
      </c>
      <c r="L7" s="24">
        <f t="shared" si="1"/>
        <v>12</v>
      </c>
      <c r="M7" s="28">
        <f>L7+1</f>
        <v>13</v>
      </c>
      <c r="N7" s="31">
        <f t="shared" si="0"/>
        <v>14</v>
      </c>
      <c r="O7" s="31">
        <f t="shared" si="0"/>
        <v>15</v>
      </c>
      <c r="P7" s="31">
        <f t="shared" si="0"/>
        <v>16</v>
      </c>
      <c r="Q7" s="29">
        <f t="shared" si="0"/>
        <v>17</v>
      </c>
      <c r="R7" s="28">
        <f t="shared" si="0"/>
        <v>18</v>
      </c>
      <c r="S7" s="31">
        <f t="shared" si="0"/>
        <v>19</v>
      </c>
      <c r="T7" s="31">
        <f>S7+1</f>
        <v>20</v>
      </c>
      <c r="U7" s="31">
        <f t="shared" si="0"/>
        <v>21</v>
      </c>
      <c r="V7" s="31">
        <f t="shared" si="0"/>
        <v>22</v>
      </c>
      <c r="W7" s="29">
        <f t="shared" si="0"/>
        <v>23</v>
      </c>
      <c r="X7" s="28">
        <f t="shared" si="0"/>
        <v>24</v>
      </c>
      <c r="Y7" s="31">
        <f t="shared" si="0"/>
        <v>25</v>
      </c>
      <c r="Z7" s="31">
        <f>Y7+1</f>
        <v>26</v>
      </c>
      <c r="AA7" s="31">
        <f t="shared" ref="AA7:AC7" si="2">Z7+1</f>
        <v>27</v>
      </c>
      <c r="AB7" s="31">
        <f t="shared" si="2"/>
        <v>28</v>
      </c>
      <c r="AC7" s="29">
        <f t="shared" si="2"/>
        <v>29</v>
      </c>
      <c r="AD7" s="24">
        <f>AC7+1</f>
        <v>30</v>
      </c>
      <c r="AE7" s="33">
        <f>AD7+1</f>
        <v>31</v>
      </c>
      <c r="AF7" s="32">
        <f>AE7+1</f>
        <v>32</v>
      </c>
      <c r="AG7" s="34"/>
    </row>
    <row r="8" spans="1:33" s="46" customFormat="1" ht="20.25" thickBot="1">
      <c r="A8" s="36" t="s">
        <v>3</v>
      </c>
      <c r="B8" s="37" t="s">
        <v>4</v>
      </c>
      <c r="C8" s="38" t="s">
        <v>28</v>
      </c>
      <c r="D8" s="39" t="s">
        <v>4</v>
      </c>
      <c r="E8" s="38" t="s">
        <v>28</v>
      </c>
      <c r="F8" s="39" t="s">
        <v>4</v>
      </c>
      <c r="G8" s="40" t="s">
        <v>5</v>
      </c>
      <c r="H8" s="41" t="s">
        <v>4</v>
      </c>
      <c r="I8" s="41" t="s">
        <v>29</v>
      </c>
      <c r="J8" s="42" t="s">
        <v>45</v>
      </c>
      <c r="K8" s="36" t="s">
        <v>29</v>
      </c>
      <c r="L8" s="36" t="s">
        <v>4</v>
      </c>
      <c r="M8" s="38" t="s">
        <v>29</v>
      </c>
      <c r="N8" s="41" t="s">
        <v>29</v>
      </c>
      <c r="O8" s="41" t="s">
        <v>29</v>
      </c>
      <c r="P8" s="41" t="s">
        <v>4</v>
      </c>
      <c r="Q8" s="39" t="s">
        <v>4</v>
      </c>
      <c r="R8" s="38" t="s">
        <v>4</v>
      </c>
      <c r="S8" s="41" t="s">
        <v>29</v>
      </c>
      <c r="T8" s="41" t="s">
        <v>29</v>
      </c>
      <c r="U8" s="41" t="s">
        <v>29</v>
      </c>
      <c r="V8" s="41" t="s">
        <v>4</v>
      </c>
      <c r="W8" s="39" t="s">
        <v>4</v>
      </c>
      <c r="X8" s="38" t="s">
        <v>4</v>
      </c>
      <c r="Y8" s="41" t="s">
        <v>29</v>
      </c>
      <c r="Z8" s="41" t="s">
        <v>29</v>
      </c>
      <c r="AA8" s="41" t="s">
        <v>29</v>
      </c>
      <c r="AB8" s="41" t="s">
        <v>4</v>
      </c>
      <c r="AC8" s="39" t="s">
        <v>4</v>
      </c>
      <c r="AD8" s="43" t="s">
        <v>4</v>
      </c>
      <c r="AE8" s="44" t="s">
        <v>4</v>
      </c>
      <c r="AF8" s="42" t="s">
        <v>29</v>
      </c>
      <c r="AG8" s="45"/>
    </row>
    <row r="9" spans="1:33">
      <c r="A9" s="157" t="s">
        <v>59</v>
      </c>
      <c r="B9" s="48" t="s">
        <v>8</v>
      </c>
      <c r="C9" s="48" t="s">
        <v>8</v>
      </c>
      <c r="D9" s="48" t="s">
        <v>8</v>
      </c>
      <c r="E9" s="48" t="s">
        <v>8</v>
      </c>
      <c r="F9" s="48" t="s">
        <v>8</v>
      </c>
      <c r="G9" s="49">
        <f>'Исходные данные'!C10</f>
        <v>1750</v>
      </c>
      <c r="H9" s="50">
        <f>'Исходные данные'!D10</f>
        <v>3108263</v>
      </c>
      <c r="I9" s="51">
        <f>'Расчет КРП'!H7</f>
        <v>2.1077897638379506</v>
      </c>
      <c r="J9" s="52" t="s">
        <v>8</v>
      </c>
      <c r="K9" s="53">
        <f t="shared" ref="K9:K17" si="3">((H9/G9)/($H$18/$G$18))/I9</f>
        <v>0.29051842336089839</v>
      </c>
      <c r="L9" s="54">
        <f t="shared" ref="L9:L17" si="4">$D$18*G9/$G$18</f>
        <v>1321065.4240370309</v>
      </c>
      <c r="M9" s="55">
        <f t="shared" ref="M9:M17" si="5">(((H9+L9)/G9)/$J$18)/I9</f>
        <v>0.41399376767630375</v>
      </c>
      <c r="N9" s="56" t="s">
        <v>8</v>
      </c>
      <c r="O9" s="57">
        <f t="shared" ref="O9:O17" si="6">$N$18-M9</f>
        <v>9.2134766083544373E-2</v>
      </c>
      <c r="P9" s="58">
        <f t="shared" ref="P9:P17" si="7">IF(O9&gt;0,G9*I9*(($H$18+$L$18)/$G$18)*O9,0)</f>
        <v>1242303.7407056482</v>
      </c>
      <c r="Q9" s="59">
        <f t="shared" ref="Q9:Q17" si="8">IF(($F$18-P$18)&gt;0,P9,$F$18*P9/P$18)</f>
        <v>1242303.7407056482</v>
      </c>
      <c r="R9" s="60" t="s">
        <v>8</v>
      </c>
      <c r="S9" s="61" t="s">
        <v>8</v>
      </c>
      <c r="T9" s="62">
        <f t="shared" ref="T9:T17" si="9">(((H9+L9+Q9)/G9)/$J$18)/I9</f>
        <v>0.53010753413852119</v>
      </c>
      <c r="U9" s="63">
        <f t="shared" ref="U9:U17" si="10">S$18-T9</f>
        <v>5.0756500619182021E-2</v>
      </c>
      <c r="V9" s="64">
        <f t="shared" ref="V9:V17" si="11">IF(U9&gt;0,$G9*$I9*(($H$18+$L$18+$Q$18)/$G$18)*U9,0)</f>
        <v>755776.05281578354</v>
      </c>
      <c r="W9" s="65">
        <f t="shared" ref="W9:W17" si="12">IF((R$18-V$18)&gt;0,V9,R$18*V9/V$18)</f>
        <v>755776.05281578354</v>
      </c>
      <c r="X9" s="66" t="s">
        <v>8</v>
      </c>
      <c r="Y9" s="61" t="s">
        <v>8</v>
      </c>
      <c r="Z9" s="62">
        <f t="shared" ref="Z9:Z17" si="13">(((H9+L9+Q9+W9)/G9)/$J$18)/I9</f>
        <v>0.60074726677310353</v>
      </c>
      <c r="AA9" s="63">
        <f t="shared" ref="AA9:AA17" si="14">Y$18-Z9</f>
        <v>4.4930912557364033E-2</v>
      </c>
      <c r="AB9" s="64">
        <f t="shared" ref="AB9:AB17" si="15">IF(AA9&gt;0,$G9*$I9*(($H$18+$L$18+$Q$18+$W$18)/$G$18)*AA9,0)</f>
        <v>723258.49802220974</v>
      </c>
      <c r="AC9" s="65">
        <f t="shared" ref="AC9:AC17" si="16">IF((X$18-AB$18)&gt;0,AB9,X$18*AB9/AB$18)</f>
        <v>516046.02419375395</v>
      </c>
      <c r="AD9" s="67">
        <f t="shared" ref="AD9:AD17" si="17">Q9+W9+AC9</f>
        <v>2514125.8177151857</v>
      </c>
      <c r="AE9" s="68">
        <f t="shared" ref="AE9:AE18" si="18">L9+AD9</f>
        <v>3835191.2417522166</v>
      </c>
      <c r="AF9" s="69">
        <f t="shared" ref="AF9:AF17" si="19">K9+AE9/($H$18/$G$18)/G9/I9</f>
        <v>0.64898027579789619</v>
      </c>
      <c r="AG9" s="70">
        <v>3835191.24</v>
      </c>
    </row>
    <row r="10" spans="1:33">
      <c r="A10" s="158" t="s">
        <v>60</v>
      </c>
      <c r="B10" s="73" t="s">
        <v>8</v>
      </c>
      <c r="C10" s="73" t="s">
        <v>8</v>
      </c>
      <c r="D10" s="73" t="s">
        <v>8</v>
      </c>
      <c r="E10" s="73" t="s">
        <v>8</v>
      </c>
      <c r="F10" s="73" t="s">
        <v>8</v>
      </c>
      <c r="G10" s="74">
        <f>'Исходные данные'!C11</f>
        <v>1318</v>
      </c>
      <c r="H10" s="75">
        <f>'Исходные данные'!D11</f>
        <v>3092965</v>
      </c>
      <c r="I10" s="76">
        <f>'Расчет КРП'!H8</f>
        <v>2.727161786088482</v>
      </c>
      <c r="J10" s="77" t="s">
        <v>8</v>
      </c>
      <c r="K10" s="78">
        <f t="shared" si="3"/>
        <v>0.29666748655000147</v>
      </c>
      <c r="L10" s="79">
        <f t="shared" si="4"/>
        <v>994950.9879318896</v>
      </c>
      <c r="M10" s="80">
        <f t="shared" si="5"/>
        <v>0.39210005977025925</v>
      </c>
      <c r="N10" s="81" t="s">
        <v>8</v>
      </c>
      <c r="O10" s="82">
        <f t="shared" si="6"/>
        <v>0.11402847398958887</v>
      </c>
      <c r="P10" s="83">
        <f t="shared" si="7"/>
        <v>1498230.1792759411</v>
      </c>
      <c r="Q10" s="84">
        <f t="shared" si="8"/>
        <v>1498230.1792759411</v>
      </c>
      <c r="R10" s="85" t="s">
        <v>8</v>
      </c>
      <c r="S10" s="81" t="s">
        <v>8</v>
      </c>
      <c r="T10" s="86">
        <f t="shared" si="9"/>
        <v>0.53580559202140055</v>
      </c>
      <c r="U10" s="82">
        <f t="shared" si="10"/>
        <v>4.5058442736302662E-2</v>
      </c>
      <c r="V10" s="64">
        <f t="shared" si="11"/>
        <v>653790.50037277851</v>
      </c>
      <c r="W10" s="84">
        <f t="shared" si="12"/>
        <v>653790.50037277851</v>
      </c>
      <c r="X10" s="87" t="s">
        <v>8</v>
      </c>
      <c r="Y10" s="81" t="s">
        <v>8</v>
      </c>
      <c r="Z10" s="86">
        <f t="shared" si="13"/>
        <v>0.59851512299761911</v>
      </c>
      <c r="AA10" s="82">
        <f t="shared" si="14"/>
        <v>4.7163056332848452E-2</v>
      </c>
      <c r="AB10" s="64">
        <f t="shared" si="15"/>
        <v>739794.7078666829</v>
      </c>
      <c r="AC10" s="84">
        <f t="shared" si="16"/>
        <v>527844.63474421296</v>
      </c>
      <c r="AD10" s="88">
        <f t="shared" si="17"/>
        <v>2679865.3143929327</v>
      </c>
      <c r="AE10" s="89">
        <f t="shared" si="18"/>
        <v>3674816.3023248222</v>
      </c>
      <c r="AF10" s="90">
        <f t="shared" si="19"/>
        <v>0.64914432218948503</v>
      </c>
      <c r="AG10" s="70">
        <v>3674816.3</v>
      </c>
    </row>
    <row r="11" spans="1:33">
      <c r="A11" s="158" t="s">
        <v>61</v>
      </c>
      <c r="B11" s="73" t="s">
        <v>8</v>
      </c>
      <c r="C11" s="73" t="s">
        <v>8</v>
      </c>
      <c r="D11" s="73" t="s">
        <v>8</v>
      </c>
      <c r="E11" s="73" t="s">
        <v>8</v>
      </c>
      <c r="F11" s="73" t="s">
        <v>8</v>
      </c>
      <c r="G11" s="74">
        <f>'Исходные данные'!C12</f>
        <v>1937</v>
      </c>
      <c r="H11" s="75">
        <f>'Исходные данные'!D12</f>
        <v>4097540</v>
      </c>
      <c r="I11" s="76">
        <f>'Расчет КРП'!H9</f>
        <v>1.9290695945267824</v>
      </c>
      <c r="J11" s="77" t="s">
        <v>8</v>
      </c>
      <c r="K11" s="78">
        <f t="shared" si="3"/>
        <v>0.3780654102092747</v>
      </c>
      <c r="L11" s="79">
        <f t="shared" si="4"/>
        <v>1462230.7007769879</v>
      </c>
      <c r="M11" s="80">
        <f t="shared" si="5"/>
        <v>0.51298022488096717</v>
      </c>
      <c r="N11" s="81" t="s">
        <v>8</v>
      </c>
      <c r="O11" s="82">
        <f t="shared" si="6"/>
        <v>-6.8516911211190523E-3</v>
      </c>
      <c r="P11" s="83">
        <f t="shared" si="7"/>
        <v>0</v>
      </c>
      <c r="Q11" s="84">
        <f t="shared" si="8"/>
        <v>0</v>
      </c>
      <c r="R11" s="85" t="s">
        <v>8</v>
      </c>
      <c r="S11" s="81" t="s">
        <v>8</v>
      </c>
      <c r="T11" s="86">
        <f t="shared" si="9"/>
        <v>0.51298022488096717</v>
      </c>
      <c r="U11" s="82">
        <f t="shared" si="10"/>
        <v>6.7883809876736034E-2</v>
      </c>
      <c r="V11" s="64">
        <f t="shared" si="11"/>
        <v>1023952.5689853505</v>
      </c>
      <c r="W11" s="84">
        <f t="shared" si="12"/>
        <v>1023952.5689853505</v>
      </c>
      <c r="X11" s="87" t="s">
        <v>8</v>
      </c>
      <c r="Y11" s="81" t="s">
        <v>8</v>
      </c>
      <c r="Z11" s="86">
        <f t="shared" si="13"/>
        <v>0.60745667856495489</v>
      </c>
      <c r="AA11" s="82">
        <f t="shared" si="14"/>
        <v>3.8221500765512673E-2</v>
      </c>
      <c r="AB11" s="64">
        <f t="shared" si="15"/>
        <v>623258.51164967427</v>
      </c>
      <c r="AC11" s="84">
        <f t="shared" si="16"/>
        <v>444695.88378324773</v>
      </c>
      <c r="AD11" s="88">
        <f t="shared" si="17"/>
        <v>1468648.4527685982</v>
      </c>
      <c r="AE11" s="89">
        <f t="shared" si="18"/>
        <v>2930879.1535455864</v>
      </c>
      <c r="AF11" s="90">
        <f t="shared" si="19"/>
        <v>0.64848718265299066</v>
      </c>
      <c r="AG11" s="70">
        <v>2930879.16</v>
      </c>
    </row>
    <row r="12" spans="1:33">
      <c r="A12" s="158" t="s">
        <v>62</v>
      </c>
      <c r="B12" s="73" t="s">
        <v>8</v>
      </c>
      <c r="C12" s="73" t="s">
        <v>8</v>
      </c>
      <c r="D12" s="73" t="s">
        <v>8</v>
      </c>
      <c r="E12" s="73" t="s">
        <v>8</v>
      </c>
      <c r="F12" s="73" t="s">
        <v>8</v>
      </c>
      <c r="G12" s="74">
        <f>'Исходные данные'!C13</f>
        <v>1591</v>
      </c>
      <c r="H12" s="75">
        <f>'Исходные данные'!D13</f>
        <v>3607305</v>
      </c>
      <c r="I12" s="76">
        <f>'Расчет КРП'!H10</f>
        <v>2.1185199798253698</v>
      </c>
      <c r="J12" s="77" t="s">
        <v>8</v>
      </c>
      <c r="K12" s="78">
        <f t="shared" si="3"/>
        <v>0.36897877064584123</v>
      </c>
      <c r="L12" s="79">
        <f t="shared" si="4"/>
        <v>1201037.1940816664</v>
      </c>
      <c r="M12" s="80">
        <f t="shared" si="5"/>
        <v>0.49182871745438217</v>
      </c>
      <c r="N12" s="81" t="s">
        <v>8</v>
      </c>
      <c r="O12" s="82">
        <f t="shared" si="6"/>
        <v>1.4299816305465951E-2</v>
      </c>
      <c r="P12" s="83">
        <f t="shared" si="7"/>
        <v>176186.29300081334</v>
      </c>
      <c r="Q12" s="84">
        <f t="shared" si="8"/>
        <v>176186.29300081334</v>
      </c>
      <c r="R12" s="85" t="s">
        <v>8</v>
      </c>
      <c r="S12" s="81" t="s">
        <v>8</v>
      </c>
      <c r="T12" s="86">
        <f t="shared" si="9"/>
        <v>0.50985020490722799</v>
      </c>
      <c r="U12" s="82">
        <f t="shared" si="10"/>
        <v>7.1013829850475219E-2</v>
      </c>
      <c r="V12" s="64">
        <f t="shared" si="11"/>
        <v>966232.83986188844</v>
      </c>
      <c r="W12" s="84">
        <f t="shared" si="12"/>
        <v>966232.83986188844</v>
      </c>
      <c r="X12" s="87" t="s">
        <v>8</v>
      </c>
      <c r="Y12" s="81" t="s">
        <v>8</v>
      </c>
      <c r="Z12" s="86">
        <f t="shared" si="13"/>
        <v>0.60868282521792527</v>
      </c>
      <c r="AA12" s="82">
        <f t="shared" si="14"/>
        <v>3.6995354112542289E-2</v>
      </c>
      <c r="AB12" s="64">
        <f t="shared" si="15"/>
        <v>544167.87373104459</v>
      </c>
      <c r="AC12" s="84">
        <f t="shared" si="16"/>
        <v>388264.59488658648</v>
      </c>
      <c r="AD12" s="88">
        <f t="shared" si="17"/>
        <v>1530683.7277492883</v>
      </c>
      <c r="AE12" s="89">
        <f t="shared" si="18"/>
        <v>2731720.921830955</v>
      </c>
      <c r="AF12" s="90">
        <f t="shared" si="19"/>
        <v>0.64839706975964218</v>
      </c>
      <c r="AG12" s="70">
        <v>2731720.92</v>
      </c>
    </row>
    <row r="13" spans="1:33" ht="15.75" customHeight="1">
      <c r="A13" s="158" t="s">
        <v>63</v>
      </c>
      <c r="B13" s="73" t="s">
        <v>8</v>
      </c>
      <c r="C13" s="73" t="s">
        <v>8</v>
      </c>
      <c r="D13" s="73" t="s">
        <v>8</v>
      </c>
      <c r="E13" s="73" t="s">
        <v>8</v>
      </c>
      <c r="F13" s="73" t="s">
        <v>8</v>
      </c>
      <c r="G13" s="74">
        <f>'Исходные данные'!C14</f>
        <v>1063</v>
      </c>
      <c r="H13" s="75">
        <f>'Исходные данные'!D14</f>
        <v>3041383</v>
      </c>
      <c r="I13" s="76">
        <f>'Расчет КРП'!H11</f>
        <v>3.32125</v>
      </c>
      <c r="J13" s="77" t="s">
        <v>8</v>
      </c>
      <c r="K13" s="78">
        <f t="shared" si="3"/>
        <v>0.29700074711844288</v>
      </c>
      <c r="L13" s="79">
        <f t="shared" si="4"/>
        <v>802452.8832864936</v>
      </c>
      <c r="M13" s="80">
        <f t="shared" si="5"/>
        <v>0.3753628297181803</v>
      </c>
      <c r="N13" s="81" t="s">
        <v>8</v>
      </c>
      <c r="O13" s="82">
        <f t="shared" si="6"/>
        <v>0.13076570404166782</v>
      </c>
      <c r="P13" s="83">
        <f t="shared" si="7"/>
        <v>1687592.5671516329</v>
      </c>
      <c r="Q13" s="84">
        <f t="shared" si="8"/>
        <v>1687592.5671516329</v>
      </c>
      <c r="R13" s="85" t="s">
        <v>8</v>
      </c>
      <c r="S13" s="81" t="s">
        <v>8</v>
      </c>
      <c r="T13" s="86">
        <f t="shared" si="9"/>
        <v>0.54016162463337714</v>
      </c>
      <c r="U13" s="82">
        <f t="shared" si="10"/>
        <v>4.0702410124326072E-2</v>
      </c>
      <c r="V13" s="64">
        <f t="shared" si="11"/>
        <v>580084.24846677773</v>
      </c>
      <c r="W13" s="84">
        <f t="shared" si="12"/>
        <v>580084.24846677773</v>
      </c>
      <c r="X13" s="87" t="s">
        <v>8</v>
      </c>
      <c r="Y13" s="81" t="s">
        <v>8</v>
      </c>
      <c r="Z13" s="86">
        <f t="shared" si="13"/>
        <v>0.5968087010411407</v>
      </c>
      <c r="AA13" s="82">
        <f t="shared" si="14"/>
        <v>4.8869478289326862E-2</v>
      </c>
      <c r="AB13" s="64">
        <f t="shared" si="15"/>
        <v>752931.55866152642</v>
      </c>
      <c r="AC13" s="84">
        <f t="shared" si="16"/>
        <v>537217.79750917701</v>
      </c>
      <c r="AD13" s="88">
        <f t="shared" si="17"/>
        <v>2804894.6131275878</v>
      </c>
      <c r="AE13" s="89">
        <f t="shared" si="18"/>
        <v>3607347.4964140812</v>
      </c>
      <c r="AF13" s="90">
        <f t="shared" si="19"/>
        <v>0.64926973183717984</v>
      </c>
      <c r="AG13" s="70">
        <v>3607347.5</v>
      </c>
    </row>
    <row r="14" spans="1:33">
      <c r="A14" s="158" t="s">
        <v>64</v>
      </c>
      <c r="B14" s="73" t="s">
        <v>8</v>
      </c>
      <c r="C14" s="73" t="s">
        <v>8</v>
      </c>
      <c r="D14" s="73" t="s">
        <v>8</v>
      </c>
      <c r="E14" s="73" t="s">
        <v>8</v>
      </c>
      <c r="F14" s="73" t="s">
        <v>8</v>
      </c>
      <c r="G14" s="74">
        <f>'Исходные данные'!C15</f>
        <v>1030</v>
      </c>
      <c r="H14" s="75">
        <f>'Исходные данные'!D15</f>
        <v>2971804</v>
      </c>
      <c r="I14" s="76">
        <f>'Расчет КРП'!H12</f>
        <v>3.4418004420162669</v>
      </c>
      <c r="J14" s="77" t="s">
        <v>8</v>
      </c>
      <c r="K14" s="78">
        <f t="shared" si="3"/>
        <v>0.28901375450788047</v>
      </c>
      <c r="L14" s="79">
        <f t="shared" si="4"/>
        <v>777541.36386179528</v>
      </c>
      <c r="M14" s="80">
        <f t="shared" si="5"/>
        <v>0.36463117371011433</v>
      </c>
      <c r="N14" s="81" t="s">
        <v>8</v>
      </c>
      <c r="O14" s="82">
        <f t="shared" si="6"/>
        <v>0.14149736004973379</v>
      </c>
      <c r="P14" s="83">
        <f t="shared" si="7"/>
        <v>1833623.4881731945</v>
      </c>
      <c r="Q14" s="84">
        <f t="shared" si="8"/>
        <v>1833623.4881731945</v>
      </c>
      <c r="R14" s="85" t="s">
        <v>8</v>
      </c>
      <c r="S14" s="81" t="s">
        <v>8</v>
      </c>
      <c r="T14" s="86">
        <f t="shared" si="9"/>
        <v>0.54295464614327993</v>
      </c>
      <c r="U14" s="82">
        <f t="shared" si="10"/>
        <v>3.7909388614423278E-2</v>
      </c>
      <c r="V14" s="64">
        <f t="shared" si="11"/>
        <v>542507.5742846115</v>
      </c>
      <c r="W14" s="84">
        <f t="shared" si="12"/>
        <v>542507.5742846115</v>
      </c>
      <c r="X14" s="87" t="s">
        <v>8</v>
      </c>
      <c r="Y14" s="81" t="s">
        <v>8</v>
      </c>
      <c r="Z14" s="86">
        <f t="shared" si="13"/>
        <v>0.59571456937272516</v>
      </c>
      <c r="AA14" s="82">
        <f t="shared" si="14"/>
        <v>4.9963609957742405E-2</v>
      </c>
      <c r="AB14" s="64">
        <f t="shared" si="15"/>
        <v>772964.74501284363</v>
      </c>
      <c r="AC14" s="84">
        <f t="shared" si="16"/>
        <v>551511.50604741019</v>
      </c>
      <c r="AD14" s="88">
        <f t="shared" si="17"/>
        <v>2927642.5685052164</v>
      </c>
      <c r="AE14" s="89">
        <f t="shared" si="18"/>
        <v>3705183.9323670119</v>
      </c>
      <c r="AF14" s="90">
        <f t="shared" si="19"/>
        <v>0.64935014258585022</v>
      </c>
      <c r="AG14" s="70">
        <v>3705183.93</v>
      </c>
    </row>
    <row r="15" spans="1:33">
      <c r="A15" s="158" t="s">
        <v>65</v>
      </c>
      <c r="B15" s="73" t="s">
        <v>8</v>
      </c>
      <c r="C15" s="73" t="s">
        <v>8</v>
      </c>
      <c r="D15" s="73" t="s">
        <v>8</v>
      </c>
      <c r="E15" s="73" t="s">
        <v>8</v>
      </c>
      <c r="F15" s="73" t="s">
        <v>8</v>
      </c>
      <c r="G15" s="74">
        <f>'Исходные данные'!C16</f>
        <v>1752</v>
      </c>
      <c r="H15" s="75">
        <f>'Исходные данные'!D16</f>
        <v>4081154</v>
      </c>
      <c r="I15" s="76">
        <f>'Расчет КРП'!H13</f>
        <v>1.9724005377271936</v>
      </c>
      <c r="J15" s="77" t="s">
        <v>8</v>
      </c>
      <c r="K15" s="78">
        <f t="shared" si="3"/>
        <v>0.40716930293576536</v>
      </c>
      <c r="L15" s="79">
        <f t="shared" si="4"/>
        <v>1322575.2130930733</v>
      </c>
      <c r="M15" s="80">
        <f t="shared" si="5"/>
        <v>0.53912022358106015</v>
      </c>
      <c r="N15" s="81" t="s">
        <v>8</v>
      </c>
      <c r="O15" s="82">
        <f t="shared" si="6"/>
        <v>-3.2991689821212034E-2</v>
      </c>
      <c r="P15" s="83">
        <f t="shared" si="7"/>
        <v>0</v>
      </c>
      <c r="Q15" s="84">
        <f t="shared" si="8"/>
        <v>0</v>
      </c>
      <c r="R15" s="85" t="s">
        <v>8</v>
      </c>
      <c r="S15" s="81" t="s">
        <v>8</v>
      </c>
      <c r="T15" s="86">
        <f t="shared" si="9"/>
        <v>0.53912022358106015</v>
      </c>
      <c r="U15" s="82">
        <f t="shared" si="10"/>
        <v>4.1743811176643053E-2</v>
      </c>
      <c r="V15" s="64">
        <f t="shared" si="11"/>
        <v>582314.26110448316</v>
      </c>
      <c r="W15" s="84">
        <f t="shared" si="12"/>
        <v>582314.26110448316</v>
      </c>
      <c r="X15" s="87" t="s">
        <v>8</v>
      </c>
      <c r="Y15" s="81" t="s">
        <v>8</v>
      </c>
      <c r="Z15" s="86">
        <f t="shared" si="13"/>
        <v>0.59721665703676108</v>
      </c>
      <c r="AA15" s="82">
        <f t="shared" si="14"/>
        <v>4.8461522293706483E-2</v>
      </c>
      <c r="AB15" s="64">
        <f t="shared" si="15"/>
        <v>730817.99487496004</v>
      </c>
      <c r="AC15" s="84">
        <f t="shared" si="16"/>
        <v>521439.7365475453</v>
      </c>
      <c r="AD15" s="88">
        <f t="shared" si="17"/>
        <v>1103753.9976520285</v>
      </c>
      <c r="AE15" s="89">
        <f t="shared" si="18"/>
        <v>2426329.2107451018</v>
      </c>
      <c r="AF15" s="90">
        <f t="shared" si="19"/>
        <v>0.64923975002787926</v>
      </c>
      <c r="AG15" s="70">
        <v>2426329.21</v>
      </c>
    </row>
    <row r="16" spans="1:33">
      <c r="A16" s="159" t="s">
        <v>66</v>
      </c>
      <c r="B16" s="73" t="s">
        <v>8</v>
      </c>
      <c r="C16" s="73" t="s">
        <v>8</v>
      </c>
      <c r="D16" s="73" t="s">
        <v>8</v>
      </c>
      <c r="E16" s="73" t="s">
        <v>8</v>
      </c>
      <c r="F16" s="73" t="s">
        <v>8</v>
      </c>
      <c r="G16" s="74">
        <f>'Исходные данные'!C17</f>
        <v>1396</v>
      </c>
      <c r="H16" s="75">
        <f>'Исходные данные'!D17</f>
        <v>3291090</v>
      </c>
      <c r="I16" s="76">
        <f>'Расчет КРП'!H14</f>
        <v>2.3069298761993835</v>
      </c>
      <c r="J16" s="77" t="s">
        <v>8</v>
      </c>
      <c r="K16" s="78">
        <f t="shared" si="3"/>
        <v>0.35232317160496018</v>
      </c>
      <c r="L16" s="79">
        <f t="shared" si="4"/>
        <v>1053832.7611175401</v>
      </c>
      <c r="M16" s="80">
        <f t="shared" si="5"/>
        <v>0.46513980704736507</v>
      </c>
      <c r="N16" s="81" t="s">
        <v>8</v>
      </c>
      <c r="O16" s="82">
        <f t="shared" si="6"/>
        <v>4.0988726712483048E-2</v>
      </c>
      <c r="P16" s="83">
        <f t="shared" si="7"/>
        <v>482528.70580605359</v>
      </c>
      <c r="Q16" s="84">
        <f t="shared" si="8"/>
        <v>482528.70580605359</v>
      </c>
      <c r="R16" s="85" t="s">
        <v>8</v>
      </c>
      <c r="S16" s="81" t="s">
        <v>8</v>
      </c>
      <c r="T16" s="86">
        <f t="shared" si="9"/>
        <v>0.51679626251349498</v>
      </c>
      <c r="U16" s="82">
        <f t="shared" si="10"/>
        <v>6.4067772244208232E-2</v>
      </c>
      <c r="V16" s="64">
        <f t="shared" si="11"/>
        <v>832905.15435941203</v>
      </c>
      <c r="W16" s="84">
        <f t="shared" si="12"/>
        <v>832905.15435941203</v>
      </c>
      <c r="X16" s="87" t="s">
        <v>8</v>
      </c>
      <c r="Y16" s="81" t="s">
        <v>8</v>
      </c>
      <c r="Z16" s="86">
        <f t="shared" si="13"/>
        <v>0.6059617929699781</v>
      </c>
      <c r="AA16" s="82">
        <f t="shared" si="14"/>
        <v>3.9716386360489464E-2</v>
      </c>
      <c r="AB16" s="64">
        <f t="shared" si="15"/>
        <v>558177.72937728593</v>
      </c>
      <c r="AC16" s="84">
        <f t="shared" si="16"/>
        <v>398260.64792369748</v>
      </c>
      <c r="AD16" s="88">
        <f t="shared" si="17"/>
        <v>1713694.5080891631</v>
      </c>
      <c r="AE16" s="89">
        <f t="shared" si="18"/>
        <v>2767527.2692067032</v>
      </c>
      <c r="AF16" s="90">
        <f t="shared" si="19"/>
        <v>0.6485970459110777</v>
      </c>
      <c r="AG16" s="70">
        <v>2767527.27</v>
      </c>
    </row>
    <row r="17" spans="1:33" ht="19.5" thickBot="1">
      <c r="A17" s="160" t="s">
        <v>67</v>
      </c>
      <c r="B17" s="73" t="s">
        <v>8</v>
      </c>
      <c r="C17" s="73" t="s">
        <v>8</v>
      </c>
      <c r="D17" s="73" t="s">
        <v>8</v>
      </c>
      <c r="E17" s="73" t="s">
        <v>8</v>
      </c>
      <c r="F17" s="73" t="s">
        <v>8</v>
      </c>
      <c r="G17" s="74">
        <f>'Исходные данные'!C18</f>
        <v>6310</v>
      </c>
      <c r="H17" s="75">
        <f>'Исходные данные'!D18</f>
        <v>25344581</v>
      </c>
      <c r="I17" s="76">
        <f>'Расчет КРП'!H15</f>
        <v>1.1519036574181074</v>
      </c>
      <c r="J17" s="77" t="s">
        <v>8</v>
      </c>
      <c r="K17" s="78">
        <f t="shared" si="3"/>
        <v>1.2021560848331025</v>
      </c>
      <c r="L17" s="79">
        <f t="shared" si="4"/>
        <v>4763384.4718135232</v>
      </c>
      <c r="M17" s="80">
        <f t="shared" si="5"/>
        <v>1.428095177185434</v>
      </c>
      <c r="N17" s="81" t="s">
        <v>8</v>
      </c>
      <c r="O17" s="82">
        <f t="shared" si="6"/>
        <v>-0.92196664342558587</v>
      </c>
      <c r="P17" s="83">
        <f t="shared" si="7"/>
        <v>0</v>
      </c>
      <c r="Q17" s="84">
        <f t="shared" si="8"/>
        <v>0</v>
      </c>
      <c r="R17" s="85" t="s">
        <v>8</v>
      </c>
      <c r="S17" s="81" t="s">
        <v>8</v>
      </c>
      <c r="T17" s="86">
        <f t="shared" si="9"/>
        <v>1.428095177185434</v>
      </c>
      <c r="U17" s="82">
        <f t="shared" si="10"/>
        <v>-0.84723114242773079</v>
      </c>
      <c r="V17" s="64">
        <f t="shared" si="11"/>
        <v>0</v>
      </c>
      <c r="W17" s="84">
        <f t="shared" si="12"/>
        <v>0</v>
      </c>
      <c r="X17" s="87" t="s">
        <v>8</v>
      </c>
      <c r="Y17" s="81" t="s">
        <v>8</v>
      </c>
      <c r="Z17" s="86">
        <f t="shared" si="13"/>
        <v>1.428095177185434</v>
      </c>
      <c r="AA17" s="82">
        <f t="shared" si="14"/>
        <v>-0.78241699785496643</v>
      </c>
      <c r="AB17" s="64">
        <f t="shared" si="15"/>
        <v>0</v>
      </c>
      <c r="AC17" s="84">
        <f t="shared" si="16"/>
        <v>0</v>
      </c>
      <c r="AD17" s="88">
        <f t="shared" si="17"/>
        <v>0</v>
      </c>
      <c r="AE17" s="89">
        <f t="shared" si="18"/>
        <v>4763384.4718135232</v>
      </c>
      <c r="AF17" s="90">
        <f t="shared" si="19"/>
        <v>1.4280951771854338</v>
      </c>
      <c r="AG17" s="70">
        <v>4763384.47</v>
      </c>
    </row>
    <row r="18" spans="1:33" s="6" customFormat="1" ht="19.5" thickBot="1">
      <c r="A18" s="92" t="s">
        <v>6</v>
      </c>
      <c r="B18" s="93">
        <v>30442380</v>
      </c>
      <c r="C18" s="94">
        <v>45</v>
      </c>
      <c r="D18" s="95">
        <f>B18*C18/100</f>
        <v>13699071</v>
      </c>
      <c r="E18" s="96">
        <f>100-C18</f>
        <v>55</v>
      </c>
      <c r="F18" s="95">
        <f>B18-D18</f>
        <v>16743309</v>
      </c>
      <c r="G18" s="97">
        <f>SUM(G9:G17)</f>
        <v>18147</v>
      </c>
      <c r="H18" s="97">
        <f>SUM(H9:H17)</f>
        <v>52636085</v>
      </c>
      <c r="I18" s="98" t="s">
        <v>8</v>
      </c>
      <c r="J18" s="99">
        <f>H18/G18</f>
        <v>2900.5392075825207</v>
      </c>
      <c r="K18" s="100" t="s">
        <v>8</v>
      </c>
      <c r="L18" s="101">
        <f>SUM(L9:L17)</f>
        <v>13699071</v>
      </c>
      <c r="M18" s="102" t="s">
        <v>8</v>
      </c>
      <c r="N18" s="103">
        <f>(SUMIF(M9:M17,"&lt;1")+1)/(COUNTIFS(M9:M17,"&lt;1")+1)</f>
        <v>0.50612853375984812</v>
      </c>
      <c r="O18" s="104" t="s">
        <v>8</v>
      </c>
      <c r="P18" s="105">
        <f>SUM(P9:P17)</f>
        <v>6920464.9741132837</v>
      </c>
      <c r="Q18" s="105">
        <f>SUM(Q9:Q17)</f>
        <v>6920464.9741132837</v>
      </c>
      <c r="R18" s="106">
        <f>F18-Q18</f>
        <v>9822844.0258867163</v>
      </c>
      <c r="S18" s="103">
        <f>(SUMIF(T9:T17,"&lt;1")+1)/(COUNTIFS(T9:T17,"&lt;1")+1)</f>
        <v>0.58086403475770321</v>
      </c>
      <c r="T18" s="104" t="s">
        <v>8</v>
      </c>
      <c r="U18" s="104" t="s">
        <v>8</v>
      </c>
      <c r="V18" s="105">
        <f>SUM(V9:V17)</f>
        <v>5937563.2002510857</v>
      </c>
      <c r="W18" s="105">
        <f>SUM(W9:W17)</f>
        <v>5937563.2002510857</v>
      </c>
      <c r="X18" s="106">
        <f>R18-W18</f>
        <v>3885280.8256356306</v>
      </c>
      <c r="Y18" s="103">
        <f>(SUMIF(Z9:Z17,"&lt;1")+1)/(COUNTIFS(Z9:Z17,"&lt;1")+1)</f>
        <v>0.64567817933046756</v>
      </c>
      <c r="Z18" s="104" t="s">
        <v>8</v>
      </c>
      <c r="AA18" s="104" t="s">
        <v>8</v>
      </c>
      <c r="AB18" s="105">
        <f>SUM(AB9:AB17)</f>
        <v>5445371.6191962268</v>
      </c>
      <c r="AC18" s="105">
        <f>SUM(AC9:AC17)</f>
        <v>3885280.8256356316</v>
      </c>
      <c r="AD18" s="107">
        <f>SUM(AD9:AD17)</f>
        <v>16743308.999999998</v>
      </c>
      <c r="AE18" s="108">
        <f t="shared" si="18"/>
        <v>30442380</v>
      </c>
      <c r="AF18" s="109" t="s">
        <v>8</v>
      </c>
      <c r="AG18" s="70">
        <f>SUM(AG9:AG17)</f>
        <v>30442379.999999996</v>
      </c>
    </row>
    <row r="20" spans="1:33">
      <c r="P20" s="110"/>
    </row>
    <row r="22" spans="1:33">
      <c r="AD22" s="112"/>
    </row>
    <row r="23" spans="1:33">
      <c r="M23" s="113"/>
    </row>
  </sheetData>
  <protectedRanges>
    <protectedRange sqref="A9:A17" name="Диапазон3_1"/>
    <protectedRange sqref="A9:A17" name="Диапазон2_1"/>
  </protectedRanges>
  <mergeCells count="22">
    <mergeCell ref="I4:I5"/>
    <mergeCell ref="AE3:AE5"/>
    <mergeCell ref="A3:A6"/>
    <mergeCell ref="B3:B5"/>
    <mergeCell ref="C3:F3"/>
    <mergeCell ref="C5:D5"/>
    <mergeCell ref="E5:F5"/>
    <mergeCell ref="C4:D4"/>
    <mergeCell ref="E4:F4"/>
    <mergeCell ref="G4:G5"/>
    <mergeCell ref="H4:H5"/>
    <mergeCell ref="M4:Q4"/>
    <mergeCell ref="L4:L5"/>
    <mergeCell ref="G3:J3"/>
    <mergeCell ref="AG3:AG5"/>
    <mergeCell ref="J4:J5"/>
    <mergeCell ref="M3:AC3"/>
    <mergeCell ref="K3:K5"/>
    <mergeCell ref="R4:W4"/>
    <mergeCell ref="X4:AC4"/>
    <mergeCell ref="AD3:AD5"/>
    <mergeCell ref="AF3:AF5"/>
  </mergeCells>
  <printOptions horizontalCentered="1"/>
  <pageMargins left="1.0826771653543308" right="0.49212598425196852" top="0.78740157480314965" bottom="0.78740157480314965" header="0.74803149606299213" footer="0.23622047244094491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2024-11-13T09:14:51Z</cp:lastPrinted>
  <dcterms:created xsi:type="dcterms:W3CDTF">2013-11-15T09:40:24Z</dcterms:created>
  <dcterms:modified xsi:type="dcterms:W3CDTF">2024-11-13T09:15:36Z</dcterms:modified>
</cp:coreProperties>
</file>